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<sst xmlns="http://schemas.openxmlformats.org/spreadsheetml/2006/main" count="3662" uniqueCount="2965">
  <si>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</si>
  <si>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</si>
  <si>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</si>
  <si>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</si>
  <si>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</si>
  <si>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</si>
  <si>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</si>
  <si>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</si>
  <si>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</si>
  <si>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</si>
  <si>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</si>
  <si>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</si>
  <si>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</si>
  <si>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</si>
  <si>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</si>
  <si>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</si>
  <si>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</si>
  <si>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</si>
  <si>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</si>
  <si>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</si>
  <si>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</si>
  <si>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</si>
  <si>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</si>
  <si>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</si>
  <si>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</si>
  <si>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</si>
  <si>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</si>
  <si>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</si>
  <si>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</si>
  <si>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</si>
  <si>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</si>
  <si>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</si>
  <si>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</si>
  <si>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</si>
  <si>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</si>
  <si>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</si>
  <si>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</si>
  <si>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</si>
  <si>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</si>
  <si>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</si>
  <si>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</si>
  <si>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</si>
  <si>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</si>
  <si>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</si>
  <si>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</si>
  <si>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</si>
  <si>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</si>
  <si>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</si>
  <si>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</si>
  <si>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</si>
  <si>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</si>
  <si>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</si>
  <si>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</si>
  <si>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</si>
  <si>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</si>
  <si>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</si>
  <si>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</si>
  <si>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</si>
  <si>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</si>
  <si>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</si>
  <si>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</si>
  <si>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</si>
  <si>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</si>
  <si>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</si>
  <si>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</si>
  <si>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</si>
  <si>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</si>
  <si>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</si>
  <si>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</si>
  <si>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</si>
  <si>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</si>
  <si>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</si>
  <si>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</si>
  <si>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</si>
  <si>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</si>
  <si>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</si>
  <si>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</si>
  <si>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</si>
  <si>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</si>
  <si>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</si>
  <si>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</si>
  <si>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</si>
  <si>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</si>
  <si>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</si>
  <si>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</si>
  <si>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</si>
  <si>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</si>
  <si>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</si>
  <si>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</si>
  <si>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</si>
  <si>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</si>
  <si>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</si>
  <si>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</si>
  <si>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</si>
  <si>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</si>
  <si>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</si>
  <si>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</si>
  <si>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</si>
  <si>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</si>
  <si>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</si>
  <si>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</si>
  <si>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</si>
  <si>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</si>
  <si>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</si>
  <si>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</si>
  <si>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</si>
  <si>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</si>
  <si>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</si>
  <si>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</si>
  <si>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</si>
  <si>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</si>
  <si>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</si>
  <si>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</si>
  <si>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</si>
  <si>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</si>
  <si>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</si>
  <si>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</si>
  <si>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</si>
  <si>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</si>
  <si>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</si>
  <si>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</si>
  <si>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</si>
  <si>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</si>
  <si>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</si>
  <si>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</si>
  <si>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</si>
  <si>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</si>
  <si>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</si>
  <si>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</si>
  <si>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</si>
  <si>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</si>
  <si>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</si>
  <si>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</si>
  <si>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</si>
  <si>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</si>
  <si>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</si>
  <si>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</si>
  <si>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</si>
  <si>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</si>
  <si>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</si>
  <si>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</si>
  <si>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</si>
  <si>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</si>
  <si>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</si>
  <si>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</si>
  <si>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</si>
  <si>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</si>
  <si>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</si>
  <si>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</si>
  <si>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</si>
  <si>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</si>
  <si>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</si>
  <si>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</si>
  <si>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</si>
  <si>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</si>
  <si>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</si>
  <si>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</si>
  <si>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</si>
  <si>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</si>
  <si>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</si>
  <si>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</si>
  <si>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</si>
  <si>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</si>
  <si>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</si>
  <si>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</si>
  <si>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</si>
  <si>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</si>
  <si>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</si>
  <si>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</si>
  <si>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</si>
  <si>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</si>
  <si>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</si>
  <si>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</si>
  <si>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</si>
  <si>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</si>
  <si>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</si>
  <si>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</si>
  <si>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</si>
  <si>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</si>
  <si>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</si>
  <si>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</si>
  <si>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</si>
  <si>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</si>
  <si>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</si>
  <si>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</si>
  <si>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</si>
  <si>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</si>
  <si>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</si>
  <si>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</si>
  <si>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</si>
  <si>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</si>
  <si>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</si>
  <si>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</si>
  <si>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</si>
  <si>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</si>
  <si>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</si>
  <si>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</si>
  <si>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</si>
  <si>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</si>
  <si>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</si>
  <si>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</si>
  <si>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</si>
  <si>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</si>
  <si>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</si>
  <si>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</si>
  <si>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</si>
  <si>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</si>
  <si>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</si>
  <si>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</si>
  <si>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</si>
  <si>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</si>
  <si>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</si>
  <si>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</si>
  <si>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</si>
  <si>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</si>
  <si>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</si>
  <si>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</si>
  <si>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</si>
  <si>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</si>
  <si>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</si>
  <si>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</si>
  <si>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</si>
  <si>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</si>
  <si>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</si>
  <si>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</si>
  <si>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</si>
  <si>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</si>
  <si>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</si>
  <si>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</si>
  <si>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</si>
  <si>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</si>
  <si>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</si>
  <si>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</si>
  <si>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</si>
  <si>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</si>
  <si>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</si>
  <si>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</si>
  <si>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</si>
  <si>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</si>
  <si>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</si>
  <si>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</si>
  <si>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</si>
  <si>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</si>
  <si>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</si>
  <si>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</si>
  <si>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</si>
  <si>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</si>
  <si>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</si>
  <si>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</si>
  <si>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</si>
  <si>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</si>
  <si>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</si>
  <si>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</si>
  <si>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</si>
  <si>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</si>
  <si>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</si>
  <si>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</si>
  <si>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</si>
  <si>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</si>
  <si>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</si>
  <si>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</si>
  <si>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</si>
  <si>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</si>
  <si>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</si>
  <si>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</si>
  <si>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</si>
  <si>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</si>
  <si>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</si>
  <si>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</si>
  <si>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</si>
  <si>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</si>
  <si>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</si>
  <si>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</si>
  <si>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</si>
  <si>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</si>
  <si>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</si>
  <si>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</si>
  <si>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</si>
  <si>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</si>
  <si>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</si>
  <si>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</si>
  <si>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</si>
  <si>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</si>
  <si>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</si>
  <si>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</si>
  <si>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</si>
  <si>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</si>
  <si>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</si>
  <si>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</si>
  <si>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</si>
  <si>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</si>
  <si>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</si>
  <si>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</si>
  <si>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</si>
  <si>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</si>
  <si>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</si>
  <si>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</si>
  <si>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</si>
  <si>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</si>
  <si>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</si>
  <si>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</si>
  <si>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</si>
  <si>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</si>
  <si>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</si>
  <si>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</si>
  <si>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</si>
  <si>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</si>
  <si>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</si>
  <si>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</si>
  <si>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</si>
  <si>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</si>
  <si>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</si>
  <si>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</si>
  <si>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</si>
  <si>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</si>
  <si>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</si>
  <si>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</si>
  <si>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</si>
  <si>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</si>
  <si>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</si>
  <si>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</si>
  <si>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</si>
  <si>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</si>
  <si>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</si>
  <si>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</si>
  <si>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</si>
  <si>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</si>
  <si>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</si>
  <si>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</si>
  <si>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</si>
  <si>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</si>
  <si>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</si>
  <si>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</si>
  <si>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</si>
  <si>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</si>
  <si>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</si>
  <si>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</si>
  <si>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</si>
  <si>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</si>
  <si>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</si>
  <si>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</si>
  <si>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</si>
  <si>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</si>
  <si>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</si>
  <si>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</si>
  <si>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</si>
  <si>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</si>
  <si>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</si>
  <si>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</si>
  <si>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</si>
  <si>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</si>
  <si>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</si>
  <si>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</si>
  <si>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</si>
  <si>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</si>
  <si>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</si>
  <si>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</si>
  <si>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</si>
  <si>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</si>
  <si>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</si>
  <si>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</si>
  <si>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</si>
  <si>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</si>
  <si>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</si>
  <si>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</si>
  <si>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</si>
  <si>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</si>
  <si>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</si>
  <si>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</si>
  <si>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</si>
  <si>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</si>
  <si>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</si>
  <si>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</si>
  <si>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</si>
  <si>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</si>
  <si>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</si>
  <si>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</si>
  <si>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</si>
  <si>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</si>
  <si>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</si>
  <si>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</si>
  <si>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</si>
  <si>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</si>
  <si>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</si>
  <si>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</si>
  <si>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</si>
  <si>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</si>
  <si>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</si>
  <si>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</si>
  <si>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</si>
  <si>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</si>
  <si>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</si>
  <si>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</si>
  <si>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</si>
  <si>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</si>
  <si>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</si>
  <si>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</si>
  <si>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</si>
  <si>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</si>
  <si>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</si>
  <si>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</si>
  <si>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</si>
  <si>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</si>
  <si>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</si>
  <si>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</si>
  <si>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</si>
  <si>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</si>
  <si>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</si>
  <si>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</si>
  <si>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</si>
  <si>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</si>
  <si>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</si>
  <si>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</si>
  <si>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</si>
  <si>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</si>
  <si>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</si>
  <si>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</si>
  <si>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</si>
  <si>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</si>
  <si>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</si>
  <si>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</si>
  <si>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</si>
  <si>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</si>
  <si>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</si>
  <si>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</si>
  <si>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</si>
  <si>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</si>
  <si>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</si>
  <si>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</si>
  <si>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</si>
  <si>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</si>
  <si>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</si>
  <si>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</si>
  <si>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</si>
  <si>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</si>
  <si>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</si>
  <si>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</si>
  <si>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</si>
  <si>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</si>
  <si>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</si>
  <si>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</si>
  <si>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</si>
  <si>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</si>
  <si>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</si>
  <si>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</si>
  <si>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</si>
  <si>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</si>
  <si>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</si>
  <si>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</si>
  <si>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</si>
  <si>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</si>
  <si>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</si>
  <si>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</si>
  <si>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</si>
  <si>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</si>
  <si>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</si>
  <si>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</si>
  <si>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</si>
  <si>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</si>
  <si>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</si>
  <si>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</si>
  <si>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</si>
  <si>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</si>
  <si>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</si>
  <si>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</si>
  <si>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</si>
  <si>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</si>
  <si>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</si>
  <si>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</si>
  <si>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</si>
  <si>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</si>
  <si>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</si>
  <si>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</si>
  <si>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</si>
  <si>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</si>
  <si>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</si>
  <si>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</si>
  <si>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</si>
  <si>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</si>
  <si>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</si>
  <si>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</si>
  <si>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</si>
  <si>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</si>
  <si>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</si>
  <si>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</si>
  <si>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</si>
  <si>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</si>
  <si>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</si>
  <si>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</si>
  <si>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</si>
  <si>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</si>
  <si>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</si>
  <si>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</si>
  <si>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</si>
  <si>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</si>
  <si>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</si>
  <si>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</si>
  <si>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</si>
  <si>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</si>
  <si>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</si>
  <si>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</si>
  <si>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</si>
  <si>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</si>
  <si>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</si>
  <si>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</si>
  <si>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</si>
  <si>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</si>
  <si>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</si>
  <si>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</si>
  <si>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</si>
  <si>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</si>
  <si>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</si>
  <si>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</si>
  <si>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</si>
  <si>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</si>
  <si>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</si>
  <si>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</si>
  <si>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</si>
  <si>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</si>
  <si>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</si>
  <si>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</si>
  <si>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</si>
  <si>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</si>
  <si>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</si>
  <si>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</si>
  <si>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</si>
  <si>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</si>
  <si>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</si>
  <si>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</si>
  <si>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</si>
  <si>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</si>
  <si>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</si>
  <si>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</si>
  <si>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</si>
  <si>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</si>
  <si>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</si>
  <si>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</si>
  <si>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</si>
  <si>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</si>
  <si>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</si>
  <si>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</si>
  <si>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</si>
  <si>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</si>
  <si>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</si>
  <si>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</si>
  <si>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</si>
  <si>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</si>
  <si>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</si>
  <si>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</si>
  <si>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</si>
  <si>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</si>
  <si>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</si>
  <si>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</si>
  <si>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</si>
  <si>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</si>
  <si>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</si>
  <si>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</si>
  <si>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</si>
  <si>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</si>
  <si>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</si>
  <si>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</si>
  <si>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</si>
  <si>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</si>
  <si>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</si>
  <si>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</si>
  <si>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</si>
  <si>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</si>
  <si>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</si>
  <si>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</si>
  <si>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</si>
  <si>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</si>
  <si>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</si>
  <si>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</si>
  <si>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</si>
  <si>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</si>
  <si>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</si>
  <si>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</si>
  <si>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</si>
  <si>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</si>
  <si>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</si>
  <si>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</si>
  <si>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</si>
  <si>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</si>
  <si>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</si>
  <si>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</si>
  <si>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</si>
  <si>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</si>
  <si>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</si>
  <si>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</si>
  <si>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</si>
  <si>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</si>
  <si>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</si>
  <si>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</si>
  <si>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</si>
  <si>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</si>
  <si>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</si>
  <si>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</si>
  <si>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</si>
  <si>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</si>
  <si>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</si>
  <si>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</si>
  <si>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</si>
  <si>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</si>
  <si>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</si>
  <si>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</si>
  <si>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</si>
  <si>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</si>
  <si>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</si>
  <si>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</si>
  <si>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</si>
  <si>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</si>
  <si>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</si>
  <si>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</si>
  <si>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</si>
  <si>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</si>
  <si>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</si>
  <si>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</si>
  <si>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</si>
  <si>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</si>
  <si>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</si>
  <si>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</si>
  <si>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</si>
  <si>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</si>
  <si>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</si>
  <si>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</si>
  <si>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</si>
  <si>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</si>
  <si>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</si>
  <si>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</si>
  <si>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</si>
  <si>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</si>
  <si>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</si>
  <si>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</si>
  <si>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</si>
  <si>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</si>
  <si>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</si>
  <si>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</si>
  <si>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</si>
  <si>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</si>
  <si>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</si>
  <si>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</si>
  <si>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</si>
  <si>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</si>
  <si>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</si>
  <si>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</si>
  <si>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</si>
  <si>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</si>
  <si>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</si>
  <si>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</si>
  <si>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</si>
  <si>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</si>
  <si>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</si>
  <si>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</si>
  <si>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</si>
  <si>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</si>
  <si>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</si>
  <si>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</si>
  <si>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</si>
  <si>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</si>
  <si>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</si>
  <si>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</si>
  <si>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</si>
  <si>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</si>
  <si>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</si>
  <si>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</si>
  <si>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</si>
  <si>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</si>
  <si>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</si>
  <si>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</si>
  <si>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</si>
  <si>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</si>
  <si>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</si>
  <si>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</si>
  <si>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</si>
  <si>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</si>
  <si>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</si>
  <si>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</si>
  <si>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</si>
  <si>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</si>
  <si>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</si>
  <si>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</si>
  <si>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</si>
  <si>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</si>
  <si>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</si>
  <si>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</si>
  <si>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</si>
  <si>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</si>
  <si>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</si>
  <si>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</si>
  <si>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</si>
  <si>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</si>
  <si>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</si>
  <si>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</si>
  <si>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</si>
  <si>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</si>
  <si>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</si>
  <si>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</si>
  <si>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</si>
  <si>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</si>
  <si>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</si>
  <si>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</si>
  <si>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</si>
  <si>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</si>
  <si>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</si>
  <si>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</si>
  <si>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</si>
  <si>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</si>
  <si>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</si>
  <si>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</si>
  <si>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</si>
  <si>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</si>
  <si>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</si>
  <si>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</si>
  <si>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</si>
  <si>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</si>
  <si>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</si>
  <si>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</si>
  <si>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</si>
  <si>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</si>
  <si>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</si>
  <si>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</si>
  <si>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</si>
  <si>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</si>
  <si>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</si>
  <si>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</si>
  <si>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</si>
  <si>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</si>
  <si>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</si>
  <si>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</si>
  <si>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</si>
  <si>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</si>
  <si>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</si>
  <si>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</si>
  <si>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</si>
  <si>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</si>
  <si>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</si>
  <si>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</si>
  <si>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</si>
  <si>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</si>
  <si>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</si>
  <si>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</si>
  <si>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</si>
  <si>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</si>
  <si>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</si>
  <si>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</si>
  <si>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</si>
  <si>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</si>
  <si>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</si>
  <si>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</si>
  <si>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</si>
  <si>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</si>
  <si>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</si>
  <si>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</si>
  <si>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</si>
  <si>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</si>
  <si>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</si>
  <si>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</si>
  <si>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</si>
  <si>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</si>
  <si>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</si>
  <si>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</si>
  <si>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</si>
  <si>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</si>
  <si>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</si>
  <si>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</si>
  <si>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</si>
  <si>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</si>
  <si>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</si>
  <si>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</si>
  <si>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</si>
  <si>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</si>
  <si>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</si>
  <si>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</si>
  <si>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</si>
  <si>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</si>
  <si>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</si>
  <si>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</si>
  <si>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</si>
  <si>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</si>
  <si>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</si>
  <si>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</si>
  <si>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</si>
  <si>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</si>
  <si>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</si>
  <si>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</si>
  <si>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</si>
  <si>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</si>
  <si>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</si>
  <si>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</si>
  <si>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</si>
  <si>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</si>
  <si>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</si>
  <si>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</si>
  <si>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</si>
  <si>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</si>
  <si>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</si>
  <si>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</si>
  <si>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</si>
  <si>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</si>
  <si>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</si>
  <si>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</si>
  <si>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</si>
  <si>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</si>
  <si>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</si>
  <si>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</si>
  <si>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</si>
  <si>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</si>
  <si>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</si>
  <si>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</si>
  <si>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</si>
  <si>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</si>
  <si>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</si>
  <si>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</si>
  <si>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</si>
  <si>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</si>
  <si>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</si>
  <si>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</si>
  <si>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</si>
  <si>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</si>
  <si>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</si>
  <si>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</si>
  <si>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</si>
  <si>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</si>
  <si>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</si>
  <si>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</si>
  <si>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</si>
  <si>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</si>
  <si>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</si>
  <si>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</si>
  <si>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</si>
  <si>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</si>
  <si>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</si>
  <si>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</si>
  <si>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</si>
  <si>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</si>
  <si>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</si>
  <si>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</si>
  <si>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</si>
  <si>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</si>
  <si>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</si>
  <si>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</si>
  <si>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</si>
  <si>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</si>
  <si>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</si>
  <si>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</si>
  <si>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</si>
  <si>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</si>
  <si>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</si>
  <si>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</si>
  <si>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</si>
  <si>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</si>
  <si>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</si>
  <si>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</si>
  <si>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</si>
  <si>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</si>
  <si>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</si>
  <si>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</si>
  <si>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</si>
  <si>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</si>
  <si>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</si>
  <si>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</si>
  <si>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</si>
  <si>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</si>
  <si>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</si>
  <si>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</si>
  <si>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</si>
  <si>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</si>
  <si>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</si>
  <si>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</si>
  <si>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</si>
  <si>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</si>
  <si>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</si>
  <si>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</si>
  <si>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</si>
  <si>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</si>
  <si>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</si>
  <si>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</si>
  <si>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</si>
  <si>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</si>
  <si>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</si>
  <si>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</si>
  <si>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</si>
  <si>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</si>
  <si>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</si>
  <si>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</si>
  <si>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</si>
  <si>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</si>
  <si>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</si>
  <si>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</si>
  <si>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</si>
  <si>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</si>
  <si>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</si>
  <si>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</si>
  <si>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</si>
  <si>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</si>
  <si>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</si>
  <si>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</si>
  <si>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</si>
  <si>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</si>
  <si>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</si>
  <si>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</si>
  <si>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</si>
  <si>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</si>
  <si>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</si>
  <si>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</si>
  <si>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</si>
  <si>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</si>
  <si>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</si>
  <si>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</si>
  <si>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</si>
  <si>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</si>
  <si>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</si>
  <si>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</si>
  <si>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</si>
  <si>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</si>
  <si>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</si>
  <si>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</si>
  <si>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</si>
  <si>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</si>
  <si>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</si>
  <si>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</si>
  <si>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</si>
  <si>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</si>
  <si>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</si>
  <si>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</si>
  <si>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</si>
  <si>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</si>
  <si>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</si>
  <si>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</si>
  <si>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</si>
  <si>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</si>
  <si>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</si>
  <si>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</si>
  <si>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</si>
  <si>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</si>
  <si>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</si>
  <si>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</si>
  <si>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</si>
  <si>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</si>
  <si>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</si>
  <si>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</si>
  <si>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</si>
  <si>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</si>
  <si>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</si>
  <si>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</si>
  <si>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</si>
  <si>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</si>
  <si>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</si>
  <si>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</si>
  <si>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</si>
  <si>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</si>
  <si>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</si>
  <si>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</si>
  <si>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</si>
  <si>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</si>
  <si>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</si>
  <si>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</si>
  <si>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</si>
  <si>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</si>
  <si>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</si>
  <si>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</si>
  <si>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</si>
  <si>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</si>
  <si>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</si>
  <si>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</si>
  <si>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</si>
  <si>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</si>
  <si>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</si>
  <si>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</si>
  <si>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</si>
  <si>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</si>
  <si>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</si>
  <si>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</si>
  <si>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</si>
  <si>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</si>
  <si>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</si>
  <si>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</si>
  <si>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</si>
  <si>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</si>
  <si>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</si>
  <si>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</si>
  <si>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</si>
  <si>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</si>
  <si>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</si>
  <si>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</si>
  <si>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</si>
  <si>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</si>
  <si>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</si>
  <si>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</si>
  <si>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</si>
  <si>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</si>
  <si>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</si>
  <si>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</si>
  <si>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</si>
  <si>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</si>
  <si>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</si>
  <si>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</si>
  <si>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</si>
  <si>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</si>
  <si>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</si>
  <si>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</si>
  <si>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</si>
  <si>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</si>
  <si>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</si>
  <si>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</si>
  <si>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</si>
  <si>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</si>
  <si>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</si>
  <si>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</si>
  <si>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</si>
  <si>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</si>
  <si>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</si>
  <si>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</si>
  <si>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</si>
  <si>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</si>
  <si>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</si>
  <si>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</si>
  <si>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</si>
  <si>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</si>
  <si>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</si>
  <si>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</si>
  <si>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</si>
  <si>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</si>
  <si>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</si>
  <si>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</si>
  <si>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</si>
  <si>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</si>
  <si>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</si>
  <si>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</si>
  <si>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</si>
  <si>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</si>
  <si>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</si>
  <si>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</si>
  <si>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</si>
  <si>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</si>
  <si>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</si>
  <si>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</si>
  <si>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</si>
  <si>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</si>
  <si>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</si>
  <si>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</si>
  <si>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</si>
  <si>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</si>
  <si>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</si>
  <si>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</si>
  <si>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</si>
  <si>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</si>
  <si>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</si>
  <si>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</si>
  <si>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</si>
  <si>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</si>
  <si>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</si>
  <si>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</si>
  <si>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</si>
  <si>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</si>
  <si>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</si>
  <si>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</si>
  <si>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</si>
  <si>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</si>
  <si>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</si>
  <si>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</si>
  <si>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</si>
  <si>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</si>
  <si>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</si>
  <si>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</si>
  <si>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</si>
  <si>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</si>
  <si>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</si>
  <si>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</si>
  <si>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</si>
  <si>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</si>
  <si>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</si>
  <si>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</si>
  <si>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</si>
  <si>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</si>
  <si>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</si>
  <si>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</si>
  <si>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</si>
  <si>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</si>
  <si>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</si>
  <si>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</si>
  <si>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</si>
  <si>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</si>
  <si>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</si>
  <si>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</si>
  <si>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</si>
  <si>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</si>
  <si>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</si>
  <si>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</si>
  <si>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</si>
  <si>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</si>
  <si>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</si>
  <si>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</si>
  <si>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</si>
  <si>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</si>
  <si>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</si>
  <si>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</si>
  <si>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</si>
  <si>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</si>
  <si>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</si>
  <si>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</si>
  <si>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</si>
  <si>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</si>
  <si>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</si>
  <si>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</si>
  <si>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</si>
  <si>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</si>
  <si>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</si>
  <si>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</si>
  <si>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</si>
  <si>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</si>
  <si>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</si>
  <si>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</si>
  <si>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</si>
  <si>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</si>
  <si>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</si>
  <si>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</si>
  <si>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</si>
  <si>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</si>
  <si>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</si>
  <si>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</si>
  <si>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</si>
  <si>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</si>
  <si>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</si>
  <si>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</si>
  <si>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</si>
  <si>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</si>
  <si>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</si>
  <si>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</si>
  <si>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</si>
  <si>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</si>
  <si>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</si>
  <si>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</si>
  <si>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</si>
  <si>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</si>
  <si>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</si>
  <si>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</si>
  <si>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</si>
  <si>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</si>
  <si>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</si>
  <si>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</si>
  <si>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</si>
  <si>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</si>
  <si>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</si>
  <si>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</si>
  <si>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</si>
  <si>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</si>
  <si>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</si>
  <si>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</si>
  <si>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</si>
  <si>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</si>
  <si>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</si>
  <si>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</si>
  <si>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</si>
  <si>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</si>
  <si>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</si>
  <si>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</si>
  <si>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</si>
  <si>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</si>
  <si>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</si>
  <si>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</si>
  <si>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</si>
  <si>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</si>
  <si>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</si>
  <si>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</si>
  <si>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</si>
  <si>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</si>
  <si>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</si>
  <si>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</si>
  <si>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</si>
  <si>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</si>
  <si>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</si>
  <si>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</si>
  <si>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</si>
  <si>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</si>
  <si>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</si>
  <si>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</si>
  <si>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</si>
  <si>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</si>
  <si>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</si>
  <si>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</si>
  <si>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</si>
  <si>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</si>
  <si>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</si>
  <si>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</si>
  <si>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</si>
  <si>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</si>
  <si>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</si>
  <si>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</si>
  <si>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</si>
  <si>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</si>
  <si>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</si>
  <si>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</si>
  <si>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</si>
  <si>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</si>
  <si>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</si>
  <si>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</si>
  <si>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</si>
  <si>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</si>
  <si>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</si>
  <si>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</si>
  <si>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</si>
  <si>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</si>
  <si>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</si>
  <si>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</si>
  <si>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</si>
  <si>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</si>
  <si>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</si>
  <si>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</si>
  <si>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</si>
  <si>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</si>
  <si>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</si>
  <si>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</si>
  <si>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</si>
  <si>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</si>
  <si>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</si>
  <si>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</si>
  <si>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</si>
  <si>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</si>
  <si>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</si>
  <si>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</si>
  <si>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</si>
  <si>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</si>
  <si>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</si>
  <si>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</si>
  <si>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</si>
  <si>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</si>
  <si>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</si>
  <si>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</si>
  <si>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</si>
  <si>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</si>
  <si>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</si>
  <si>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</si>
  <si>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</si>
  <si>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</si>
  <si>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</si>
  <si>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</si>
  <si>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</si>
  <si>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</si>
  <si>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</si>
  <si>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</si>
  <si>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</si>
  <si>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</si>
  <si>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</si>
  <si>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</si>
  <si>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</si>
  <si>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</si>
  <si>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</si>
  <si>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</si>
  <si>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</si>
  <si>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</si>
  <si>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</si>
  <si>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</si>
  <si>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</si>
  <si>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</si>
  <si>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</si>
  <si>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</si>
  <si>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</si>
  <si>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</si>
  <si>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</si>
  <si>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</si>
  <si>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</si>
  <si>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</si>
  <si>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</si>
  <si>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</si>
  <si>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</si>
  <si>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</si>
  <si>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</si>
  <si>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</si>
  <si>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</si>
  <si>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</si>
  <si>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</si>
  <si>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</si>
  <si>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</si>
  <si>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</si>
  <si>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</si>
  <si>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</si>
  <si>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</si>
  <si>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</si>
  <si>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</si>
  <si>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</si>
  <si>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</si>
  <si>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</si>
  <si>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</si>
  <si>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</si>
  <si>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</si>
  <si>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</si>
  <si>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</si>
  <si>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</si>
  <si>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</si>
  <si>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</si>
  <si>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</si>
  <si>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</si>
  <si>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</si>
  <si>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</si>
  <si>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</si>
  <si>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</si>
  <si>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</si>
  <si>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</si>
  <si>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</si>
  <si>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</si>
  <si>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</si>
  <si>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</si>
  <si>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</si>
  <si>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</si>
  <si>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</si>
  <si>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</si>
  <si>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</si>
  <si>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</si>
  <si>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</si>
  <si>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</si>
  <si>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</si>
  <si>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</si>
  <si>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</si>
  <si>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</si>
  <si>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</si>
  <si>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</si>
  <si>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</si>
  <si>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</si>
  <si>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</si>
  <si>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</si>
  <si>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</si>
  <si>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</si>
  <si>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</si>
  <si>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</si>
  <si>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</si>
  <si>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</si>
  <si>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</si>
  <si>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</si>
  <si>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</si>
  <si>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</si>
  <si>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</si>
  <si>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</si>
  <si>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</si>
  <si>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</si>
  <si>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</si>
  <si>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</si>
  <si>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</si>
  <si>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</si>
  <si>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</si>
  <si>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</si>
  <si>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</si>
  <si>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</si>
  <si>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</si>
  <si>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</si>
  <si>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</si>
  <si>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</si>
  <si>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</si>
  <si>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</si>
  <si>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</si>
  <si>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</si>
  <si>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</si>
  <si>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</si>
  <si>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</si>
  <si>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</si>
  <si>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</si>
  <si>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</si>
  <si>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</si>
  <si>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</si>
  <si>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</si>
  <si>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</si>
  <si>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</si>
  <si>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</si>
  <si>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</si>
  <si>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</si>
  <si>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</si>
  <si>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</si>
  <si>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</si>
  <si>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</si>
  <si>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</si>
  <si>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</si>
  <si>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</si>
  <si>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</si>
  <si>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</si>
  <si>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</si>
  <si>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</si>
  <si>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</si>
  <si>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</si>
  <si>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</si>
  <si>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</si>
  <si>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</si>
  <si>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</si>
  <si>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</si>
  <si>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</si>
  <si>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</si>
  <si>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</si>
  <si>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</si>
  <si>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</si>
  <si>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</si>
  <si>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</si>
  <si>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</si>
  <si>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</si>
  <si>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</si>
  <si>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</si>
  <si>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</si>
  <si>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</si>
  <si>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</si>
  <si>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</si>
  <si>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</si>
  <si>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</si>
  <si>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</si>
  <si>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</si>
  <si>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</si>
  <si>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</si>
  <si>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</si>
  <si>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</si>
  <si>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</si>
  <si>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</si>
  <si>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</si>
  <si>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</si>
  <si>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</si>
  <si>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</si>
  <si>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</si>
  <si>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</si>
  <si>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</si>
  <si>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</si>
  <si>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</si>
  <si>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</si>
  <si>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</si>
  <si>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</si>
  <si>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</si>
  <si>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</si>
  <si>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</si>
  <si>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</si>
  <si>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</si>
  <si>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</si>
  <si>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</si>
  <si>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</si>
  <si>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</si>
  <si>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</si>
  <si>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</si>
  <si>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</si>
  <si>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</si>
  <si>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</si>
  <si>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</si>
  <si>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</si>
  <si>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</si>
  <si>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</si>
  <si>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</si>
  <si>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</si>
  <si>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</si>
  <si>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</si>
  <si>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</si>
  <si>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</si>
  <si>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</si>
  <si>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</si>
  <si>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</si>
  <si>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</si>
  <si>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</si>
  <si>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</si>
  <si>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</si>
  <si>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</si>
  <si>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</si>
  <si>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</si>
  <si>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</si>
  <si>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</si>
  <si>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</si>
  <si>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</si>
  <si>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</si>
  <si>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</si>
  <si>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</si>
  <si>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</si>
  <si>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</si>
  <si>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</si>
  <si>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</si>
  <si>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</si>
  <si>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</si>
  <si>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</si>
  <si>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</si>
  <si>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</si>
  <si>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</si>
  <si>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</si>
  <si>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</si>
  <si>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</si>
  <si>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</si>
  <si>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</si>
  <si>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</si>
  <si>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</si>
  <si>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</si>
  <si>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</si>
  <si>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</si>
  <si>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</si>
  <si>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</si>
  <si>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</si>
  <si>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</si>
  <si>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</si>
  <si>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</si>
  <si>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</si>
  <si>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</si>
  <si>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</si>
  <si>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</si>
  <si>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</si>
  <si>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</si>
  <si>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</si>
  <si>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</si>
  <si>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</si>
  <si>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</si>
  <si>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</si>
  <si>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</si>
  <si>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</si>
  <si>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</si>
  <si>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</si>
  <si>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</si>
  <si>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</si>
  <si>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</si>
  <si>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</si>
  <si>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</si>
  <si>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</si>
  <si>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</si>
  <si>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</si>
  <si>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</si>
  <si>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</si>
  <si>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</si>
  <si>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</si>
  <si>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</si>
  <si>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</si>
  <si>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</si>
  <si>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</si>
  <si>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</si>
  <si>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</si>
  <si>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</si>
  <si>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</si>
  <si>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</si>
  <si>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</si>
  <si>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</si>
  <si>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</si>
  <si>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</si>
  <si>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</si>
  <si>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</si>
  <si>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</si>
  <si>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</si>
  <si>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</si>
  <si>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</si>
  <si>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</si>
  <si>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</si>
  <si>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</si>
  <si>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</si>
  <si>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</si>
  <si>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</si>
  <si>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</si>
  <si>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</si>
  <si>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</si>
  <si>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</si>
  <si>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</si>
  <si>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</si>
  <si>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</si>
  <si>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</si>
  <si>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</si>
  <si>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</si>
  <si>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</si>
  <si>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</si>
  <si>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</si>
  <si>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</si>
  <si>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</si>
  <si>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</si>
  <si>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</si>
  <si>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</si>
  <si>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</si>
  <si>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</si>
  <si>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</si>
  <si>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</si>
  <si>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</si>
  <si>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</si>
  <si>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</si>
  <si>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</si>
  <si>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</si>
  <si>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</si>
  <si>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</si>
  <si>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</si>
  <si>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</si>
  <si>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</si>
  <si>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</si>
  <si>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</si>
  <si>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</si>
  <si>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</si>
  <si>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</si>
  <si>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</si>
  <si>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</si>
  <si>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</si>
  <si>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</si>
  <si>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</si>
  <si>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</si>
  <si>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</si>
  <si>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</si>
  <si>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</si>
  <si>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</si>
  <si>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</si>
  <si>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</si>
  <si>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</si>
  <si>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</si>
  <si>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</si>
  <si>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</si>
  <si>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</si>
  <si>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</si>
  <si>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</si>
  <si>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</si>
  <si>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</si>
  <si>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</si>
  <si>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</si>
  <si>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</si>
  <si>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</si>
  <si>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</si>
  <si>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</si>
  <si>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</si>
  <si>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</si>
  <si>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</si>
  <si>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</si>
  <si>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</si>
  <si>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</si>
  <si>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</si>
  <si>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</si>
  <si>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</si>
  <si>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</si>
  <si>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</si>
  <si>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</si>
  <si>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</si>
  <si>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</si>
  <si>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</si>
  <si>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</si>
  <si>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</si>
  <si>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</si>
  <si>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</si>
  <si>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</si>
  <si>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</si>
  <si>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</si>
  <si>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</si>
  <si>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</si>
  <si>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</si>
  <si>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</si>
  <si>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</si>
  <si>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</si>
  <si>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</si>
  <si>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</si>
  <si>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</si>
  <si>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</si>
  <si>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</si>
  <si>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</si>
  <si>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</si>
  <si>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</si>
  <si>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</si>
  <si>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</si>
  <si>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</si>
  <si>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</si>
  <si>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</si>
  <si>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</si>
  <si>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</si>
  <si>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</si>
  <si>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</si>
  <si>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</si>
  <si>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</si>
  <si>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</si>
  <si>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</si>
  <si>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</si>
  <si>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</si>
  <si>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</si>
  <si>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</si>
  <si>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</si>
  <si>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</si>
  <si>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</si>
  <si>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</si>
  <si>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</si>
  <si>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</si>
  <si>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</si>
  <si>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</si>
  <si>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</si>
  <si>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</si>
  <si>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</si>
  <si>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</si>
  <si>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</si>
  <si>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</si>
  <si>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</si>
  <si>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</si>
  <si>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</si>
  <si>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</si>
  <si>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</si>
  <si>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</si>
  <si>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</si>
  <si>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</si>
  <si>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</si>
  <si>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</si>
  <si>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</si>
  <si>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</si>
  <si>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</si>
  <si>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</si>
  <si>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</si>
  <si>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</si>
  <si>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</si>
  <si>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</si>
  <si>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</si>
  <si>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</si>
  <si>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</si>
  <si>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</si>
  <si>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</si>
  <si>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</si>
  <si>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</si>
  <si>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</si>
  <si>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</si>
  <si>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</si>
  <si>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</si>
  <si>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</si>
  <si>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</si>
  <si>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</si>
  <si>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</si>
  <si>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</si>
  <si>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</si>
  <si>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</si>
  <si>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</si>
  <si>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</si>
  <si>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</si>
  <si>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</si>
  <si>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</si>
  <si>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</si>
  <si>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</si>
  <si>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</si>
  <si>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</si>
  <si>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</si>
  <si>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</si>
  <si>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</si>
  <si>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</si>
  <si>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</si>
  <si>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</si>
  <si>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</si>
  <si>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</si>
  <si>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</si>
  <si>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</si>
  <si>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</si>
  <si>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</si>
  <si>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</si>
  <si>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</si>
  <si>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</si>
  <si>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</si>
  <si>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</si>
  <si>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</si>
  <si>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</si>
  <si>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</si>
  <si>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</si>
  <si>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</si>
  <si>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</si>
  <si>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</si>
  <si>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</si>
  <si>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</si>
  <si>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</si>
  <si>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</si>
  <si>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</si>
  <si>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</si>
  <si>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</si>
  <si>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</si>
  <si>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</si>
  <si>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</si>
  <si>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</si>
  <si>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</si>
  <si>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</si>
  <si>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</si>
  <si>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</si>
  <si>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</si>
  <si>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</si>
  <si>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</si>
  <si>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</si>
  <si>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</si>
  <si>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</si>
  <si>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</si>
  <si>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</si>
  <si>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</si>
  <si>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</si>
  <si>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</si>
  <si>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</si>
  <si>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</si>
  <si>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</si>
  <si>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</si>
  <si>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</si>
  <si>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</si>
  <si>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</si>
  <si>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</si>
  <si>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</si>
  <si>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</si>
  <si>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</si>
  <si>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</si>
  <si>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</si>
  <si>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</si>
  <si>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</si>
  <si>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</si>
  <si>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</si>
  <si>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</si>
  <si>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</si>
  <si>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</si>
  <si>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</si>
  <si>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</si>
  <si>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</si>
  <si>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</si>
  <si>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</si>
  <si>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</si>
  <si>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</si>
  <si>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</si>
  <si>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</si>
  <si>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</si>
  <si>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</si>
  <si>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</si>
  <si>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</si>
  <si>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</si>
  <si>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</si>
  <si>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</si>
  <si>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</si>
  <si>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</si>
  <si>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</si>
  <si>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</si>
  <si>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</si>
  <si>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</si>
  <si>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</si>
  <si>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</si>
  <si>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</si>
  <si>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</si>
  <si>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</si>
  <si>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</si>
  <si>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</si>
  <si>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</si>
  <si>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</si>
  <si>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</si>
  <si>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</si>
  <si>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</si>
  <si>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</si>
  <si>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</si>
  <si>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</si>
  <si>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</si>
  <si>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</si>
  <si>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</si>
  <si>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</si>
  <si>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</si>
  <si>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</si>
  <si>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</si>
  <si>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</si>
  <si>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</si>
  <si>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</si>
  <si>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</si>
  <si>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</si>
  <si>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</si>
  <si>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</si>
  <si>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</si>
  <si>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</si>
  <si>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</si>
  <si>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</si>
  <si>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</si>
  <si>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</si>
  <si>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</si>
  <si>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</si>
  <si>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</si>
  <si>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</si>
  <si>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</si>
  <si>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</si>
  <si>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</si>
  <si>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</si>
  <si>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</si>
  <si>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</si>
  <si>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</si>
  <si>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</si>
  <si>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</si>
  <si>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</si>
  <si>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</si>
  <si>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</si>
  <si>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</si>
  <si>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</si>
  <si>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</si>
  <si>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</si>
  <si>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</si>
  <si>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</si>
  <si>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</si>
  <si>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</si>
  <si>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</si>
  <si>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</si>
  <si>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</si>
  <si>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</si>
  <si>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</si>
  <si>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</si>
  <si>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</si>
  <si>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</si>
  <si>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</si>
  <si>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</si>
  <si>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</si>
  <si>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</si>
  <si>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</si>
  <si>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</si>
  <si>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</si>
  <si>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</si>
  <si>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</si>
  <si>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</si>
  <si>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</si>
  <si>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</si>
  <si>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</si>
  <si>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</si>
  <si>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</si>
  <si>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</si>
  <si>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</si>
  <si>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</si>
  <si>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</si>
  <si>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</si>
  <si>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</si>
  <si>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</si>
  <si>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</si>
  <si>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</si>
  <si>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</si>
  <si>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</si>
  <si>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</si>
  <si>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</si>
  <si>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</si>
  <si>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</si>
  <si>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</si>
  <si>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</si>
  <si>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</si>
  <si>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</si>
  <si>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</si>
  <si>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</si>
  <si>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</si>
  <si>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</si>
  <si>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</si>
  <si>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</si>
  <si>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</si>
  <si>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</si>
  <si>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</si>
  <si>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</si>
  <si>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</si>
  <si>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</si>
  <si>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</si>
  <si>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</si>
  <si>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</si>
  <si>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</si>
  <si>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</si>
  <si>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</si>
  <si>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</si>
  <si>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</si>
  <si>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</si>
  <si>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</si>
  <si>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</si>
  <si>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</si>
  <si>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</si>
  <si>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</si>
  <si>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</si>
  <si>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</si>
  <si>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</si>
  <si>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</si>
  <si>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</si>
  <si>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</si>
  <si>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</si>
  <si>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</si>
  <si>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</si>
  <si>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</si>
  <si>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</si>
  <si>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</si>
  <si>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</si>
  <si>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</si>
  <si>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</si>
  <si>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</si>
  <si>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</si>
  <si>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</si>
  <si>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</si>
  <si>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</si>
  <si>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</si>
  <si>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</si>
  <si>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</si>
  <si>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</si>
  <si>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</si>
  <si>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</si>
  <si>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</si>
  <si>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</si>
  <si>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</si>
  <si>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</si>
  <si>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</si>
  <si>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</si>
  <si>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</si>
  <si>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</si>
  <si>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</si>
  <si>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</si>
  <si>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</si>
  <si>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</si>
  <si>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</si>
  <si>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</si>
  <si>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</si>
  <si>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</si>
  <si>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</si>
  <si>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</si>
  <si>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</si>
  <si>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</si>
  <si>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</si>
  <si>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</si>
  <si>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</si>
  <si>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</si>
  <si>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</si>
  <si>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</si>
  <si>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</si>
  <si>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</si>
  <si>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</si>
  <si>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</si>
  <si>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</si>
  <si>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</si>
  <si>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</si>
  <si>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</si>
  <si>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</si>
  <si>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</si>
  <si>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</si>
  <si>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</si>
  <si>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</si>
  <si>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</si>
  <si>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</si>
  <si>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</si>
  <si>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</si>
  <si>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</si>
  <si>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</si>
  <si>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</si>
  <si>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</si>
  <si>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</si>
  <si>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</si>
  <si>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</si>
  <si>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</si>
  <si>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</si>
  <si>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</si>
  <si>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</si>
  <si>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</si>
  <si>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</si>
  <si>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</si>
  <si>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</si>
  <si>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</si>
  <si>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</si>
  <si>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</si>
  <si>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</si>
  <si>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</si>
  <si>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</si>
  <si>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</si>
  <si>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</si>
  <si>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</si>
  <si>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</si>
  <si>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</si>
  <si>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</si>
  <si>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</si>
  <si>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</si>
  <si>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</si>
  <si>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</si>
  <si>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</si>
  <si>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</si>
  <si>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</si>
  <si>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</si>
  <si>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</si>
  <si>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</si>
  <si>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</si>
  <si>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</si>
  <si>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</si>
  <si>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</si>
  <si>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</si>
  <si>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</si>
  <si>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</si>
  <si>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</si>
  <si>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</si>
  <si>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</si>
  <si>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</si>
  <si>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</si>
  <si>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</si>
  <si>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</si>
  <si>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</si>
  <si>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</si>
  <si>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</si>
  <si>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</si>
  <si>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</si>
  <si>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</si>
  <si>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</si>
  <si>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</si>
  <si>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</si>
  <si>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</si>
  <si>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</si>
  <si>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</si>
  <si>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</si>
  <si>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</si>
  <si>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</si>
  <si>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</si>
  <si>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</si>
  <si>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</si>
  <si>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</si>
  <si>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</si>
  <si>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</si>
  <si>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</si>
  <si>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</si>
  <si>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</si>
  <si>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</si>
  <si>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</si>
  <si>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</si>
  <si>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</si>
  <si>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</si>
  <si>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</si>
  <si>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</si>
  <si>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</si>
  <si>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</si>
  <si>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</si>
  <si>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</si>
  <si>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</si>
  <si>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</si>
  <si>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</si>
  <si>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</si>
  <si>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</si>
  <si>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</si>
  <si>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</si>
  <si>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</si>
  <si>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</si>
  <si>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</si>
  <si>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</si>
  <si>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</si>
  <si>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</si>
  <si>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</si>
  <si>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</si>
  <si>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</si>
  <si>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</si>
  <si>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</si>
  <si>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</si>
  <si>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</si>
  <si>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</si>
  <si>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</si>
  <si>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</si>
  <si>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</si>
  <si>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</si>
  <si>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</si>
  <si>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</si>
  <si>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</si>
  <si>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</si>
  <si>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</si>
  <si>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</si>
  <si>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</si>
  <si>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</si>
  <si>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</si>
  <si>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</si>
  <si>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</si>
  <si>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</si>
  <si>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</si>
  <si>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</si>
  <si>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</si>
  <si>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</si>
  <si>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</si>
  <si>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</si>
  <si>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</si>
  <si>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</si>
  <si>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</si>
  <si>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</si>
  <si>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</si>
  <si>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</si>
  <si>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</si>
  <si>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</si>
  <si>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</si>
  <si>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</si>
  <si>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</si>
  <si>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</si>
  <si>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</si>
  <si>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</si>
  <si>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</si>
  <si>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</si>
  <si>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</si>
  <si>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</si>
  <si>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</si>
  <si>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</si>
  <si>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</si>
  <si>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</si>
  <si>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</si>
  <si>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</si>
  <si>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</si>
  <si>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</si>
  <si>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</si>
  <si>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</si>
  <si>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</si>
  <si>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</si>
  <si>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</si>
  <si>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</si>
  <si>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</si>
  <si>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</si>
  <si>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</si>
  <si>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</si>
  <si>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</si>
  <si>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</si>
  <si>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</si>
  <si>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</si>
  <si>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</si>
  <si>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</si>
  <si>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</si>
  <si>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</si>
  <si>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</si>
  <si>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</si>
  <si>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</si>
  <si>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</si>
  <si>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</si>
  <si>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</si>
  <si>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</si>
  <si>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</si>
  <si>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</si>
  <si>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</si>
  <si>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</si>
  <si>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</si>
  <si>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</si>
  <si>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</si>
  <si>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</si>
  <si>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</si>
  <si>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</si>
  <si>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</si>
  <si>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</si>
  <si>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</si>
  <si>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</si>
  <si>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</si>
  <si>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</si>
  <si>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</si>
  <si>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</si>
  <si>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</si>
  <si>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</si>
  <si>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</si>
  <si>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</si>
  <si>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</si>
  <si>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</si>
  <si>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</si>
  <si>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</si>
  <si>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</si>
  <si>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</si>
  <si>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</si>
  <si>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</si>
  <si>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</si>
  <si>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</si>
  <si>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</si>
  <si>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</si>
  <si>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</si>
  <si>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</si>
  <si>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</si>
  <si>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</si>
  <si>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</si>
  <si>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</si>
  <si>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</si>
  <si>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</si>
  <si>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</si>
  <si>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</si>
  <si>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</si>
  <si>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</si>
  <si>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</si>
  <si>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</si>
  <si>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</si>
  <si>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</si>
  <si>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</si>
  <si>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</si>
  <si>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</si>
  <si>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</si>
  <si>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</si>
  <si>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</si>
  <si>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</si>
  <si>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</si>
  <si>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</si>
  <si>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</si>
  <si>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</si>
  <si>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</si>
  <si>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</si>
  <si>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</si>
  <si>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</si>
  <si>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</si>
  <si>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</si>
  <si>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</si>
  <si>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</si>
  <si>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</si>
  <si>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</si>
  <si>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</si>
  <si>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</si>
  <si>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</si>
  <si>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</si>
  <si>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</si>
  <si>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</si>
  <si>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</si>
  <si>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</si>
  <si>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</si>
  <si>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</si>
  <si>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</si>
  <si>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</si>
  <si>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</si>
  <si>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</si>
  <si>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</si>
  <si>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</si>
  <si>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</si>
  <si>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</si>
  <si>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</si>
  <si>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</si>
  <si>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</si>
  <si>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</si>
  <si>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</si>
  <si>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</si>
  <si>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</si>
  <si>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</si>
  <si>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</si>
  <si>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</si>
  <si>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</si>
  <si>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</si>
  <si>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</si>
  <si>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</si>
  <si>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</si>
  <si>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</si>
  <si>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</si>
  <si>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</si>
  <si>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</si>
  <si>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</si>
  <si>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</si>
  <si>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</si>
  <si>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</si>
  <si>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</si>
  <si>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</si>
  <si>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</si>
  <si>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</si>
  <si>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</si>
  <si>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</si>
  <si>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</si>
  <si>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</si>
  <si>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</si>
  <si>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</si>
  <si>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</si>
  <si>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</si>
  <si>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</si>
  <si>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</si>
  <si>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</si>
  <si>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</si>
  <si>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</si>
  <si>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</si>
  <si>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</si>
  <si>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</si>
  <si>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</si>
  <si>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</si>
  <si>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</si>
  <si>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</si>
  <si>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</si>
  <si>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</si>
  <si>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</si>
  <si>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</si>
  <si>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</si>
  <si>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</si>
  <si>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</si>
  <si>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</si>
  <si>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</si>
  <si>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</si>
  <si>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</si>
  <si>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</si>
  <si>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</si>
  <si>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</si>
  <si>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</si>
  <si>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</si>
  <si>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</si>
  <si>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</si>
  <si>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</si>
  <si>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</si>
  <si>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</si>
  <si>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</si>
  <si>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</si>
  <si>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</si>
  <si>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</si>
  <si>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</si>
  <si>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</si>
  <si>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</si>
  <si>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</si>
  <si>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</si>
  <si>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</si>
  <si>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</si>
  <si>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</si>
  <si>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</si>
  <si>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</si>
  <si>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</si>
  <si>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</si>
  <si>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</si>
  <si>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</si>
  <si>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</si>
  <si>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</si>
  <si>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</si>
  <si>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</si>
  <si>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</si>
  <si>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</si>
  <si>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</si>
  <si>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</si>
  <si>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</si>
  <si>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</si>
  <si>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</si>
  <si>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</si>
  <si>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</si>
  <si>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</si>
  <si>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</si>
  <si>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</si>
  <si>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</si>
  <si>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</si>
  <si>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</si>
  <si>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</si>
  <si>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</si>
  <si>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</si>
  <si>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</si>
  <si>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</si>
  <si>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</si>
  <si>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</si>
  <si>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</si>
  <si>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</si>
  <si>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</si>
  <si>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</si>
  <si>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</si>
  <si>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</si>
  <si>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</si>
  <si>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</si>
  <si>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</si>
  <si>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</si>
  <si>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</si>
  <si>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</si>
  <si>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</si>
  <si>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</si>
  <si>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</si>
  <si>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</si>
  <si>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</si>
  <si>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</si>
  <si>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</si>
  <si>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</si>
  <si>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</si>
  <si>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</si>
  <si>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</si>
  <si>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</si>
  <si>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</si>
  <si>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</si>
  <si>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</si>
  <si>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</si>
  <si>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</si>
  <si>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</si>
  <si>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</si>
  <si>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</si>
  <si>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</si>
  <si>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</si>
  <si>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</si>
  <si>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</si>
  <si>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</si>
  <si>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</si>
  <si>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</si>
  <si>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</si>
  <si>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</si>
  <si>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</si>
  <si>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</si>
  <si>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</si>
  <si>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</si>
  <si>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</si>
  <si>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</si>
  <si>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</si>
  <si>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</si>
  <si>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</si>
  <si>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</si>
  <si>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</si>
  <si>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</si>
  <si>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</si>
  <si>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</si>
  <si>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</si>
  <si>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</si>
  <si>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</si>
  <si>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</si>
  <si>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</si>
  <si>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</si>
  <si>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</si>
  <si>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</si>
  <si>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</si>
  <si>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</si>
  <si>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</si>
  <si>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</si>
  <si>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</si>
  <si>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</si>
  <si>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</si>
  <si>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</si>
  <si>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</si>
  <si>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</si>
  <si>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</si>
  <si>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</si>
  <si>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</si>
  <si>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</si>
  <si>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</si>
  <si>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</si>
  <si>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</si>
  <si>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</si>
  <si>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</si>
  <si>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</si>
  <si>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</si>
  <si>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</si>
  <si>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</si>
  <si>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</si>
  <si>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</si>
  <si>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</si>
  <si>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</si>
  <si>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</si>
  <si>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</si>
  <si>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</si>
  <si>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</si>
  <si>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</si>
  <si>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</si>
  <si>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</si>
  <si>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</si>
  <si>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</si>
  <si>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</si>
  <si>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</si>
  <si>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</si>
  <si>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</si>
  <si>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</si>
  <si>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</si>
  <si>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</si>
  <si>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</si>
  <si>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</si>
  <si>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</si>
  <si>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</si>
  <si>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</si>
  <si>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</si>
  <si>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</si>
  <si>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</si>
  <si>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</si>
  <si>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</si>
  <si>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</si>
  <si>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</si>
  <si>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</si>
  <si>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</si>
  <si>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</si>
  <si>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</si>
  <si>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</si>
  <si>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</si>
  <si>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</si>
  <si>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</si>
  <si>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</si>
  <si>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</si>
  <si>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</si>
  <si>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</si>
  <si>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</si>
  <si>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</si>
  <si>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</si>
  <si>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</si>
  <si>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</si>
  <si>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</si>
  <si>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</si>
  <si>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</si>
  <si>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</si>
  <si>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</si>
  <si>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</si>
  <si>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</si>
  <si>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</si>
  <si>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</si>
  <si>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</si>
  <si>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</si>
  <si>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</si>
  <si>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</si>
  <si>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</si>
  <si>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</si>
  <si>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</si>
  <si>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</si>
  <si>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</si>
  <si>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</si>
  <si>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</si>
  <si>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</si>
  <si>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</si>
  <si>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</si>
  <si>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</si>
  <si>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</si>
  <si>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</si>
  <si>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</si>
  <si>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</si>
  <si>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</si>
  <si>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</si>
  <si>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</si>
  <si>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</si>
  <si>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</si>
  <si>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</si>
  <si>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</si>
  <si>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</si>
  <si>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</si>
  <si>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</si>
  <si>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</si>
  <si>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</si>
  <si>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</si>
  <si>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</si>
  <si>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</si>
  <si>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</si>
  <si>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</si>
  <si>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</si>
  <si>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</si>
  <si>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</si>
  <si>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</si>
  <si>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</si>
  <si>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</si>
  <si>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</si>
  <si>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</si>
  <si>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</si>
  <si>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</si>
  <si>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</si>
  <si>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</si>
  <si>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</si>
  <si>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</si>
  <si>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</si>
  <si>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</si>
  <si>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</si>
  <si>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</si>
  <si>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</si>
  <si>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</si>
  <si>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</si>
  <si>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</si>
  <si>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</si>
  <si>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</si>
  <si>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</si>
  <si>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</si>
  <si>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</si>
  <si>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</si>
  <si>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</si>
  <si>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</si>
  <si>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</si>
  <si>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</si>
  <si>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</si>
  <si>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</si>
  <si>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</si>
  <si>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</si>
  <si>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</si>
  <si>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</si>
  <si>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</si>
  <si>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</si>
  <si>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</si>
  <si>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</si>
  <si>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</si>
  <si>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</si>
  <si>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</si>
  <si>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</si>
  <si>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</si>
  <si>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</si>
  <si>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</si>
  <si>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</si>
  <si>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</si>
  <si>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</si>
  <si>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</si>
  <si>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</si>
  <si>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</si>
  <si>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</si>
  <si>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</si>
  <si>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</si>
  <si>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</si>
  <si>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</si>
  <si>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</si>
  <si>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</si>
  <si>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</si>
  <si>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</si>
  <si>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</si>
  <si>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</si>
  <si>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</si>
  <si>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</si>
  <si>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</si>
  <si>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</si>
  <si>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</si>
  <si>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</si>
  <si>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</si>
  <si>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</si>
  <si>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</si>
  <si>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</si>
  <si>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</si>
  <si>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</si>
  <si>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</si>
  <si>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</si>
  <si>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</si>
  <si>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</si>
  <si>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</si>
  <si>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</si>
  <si>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</si>
  <si>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</si>
  <si>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</si>
  <si>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</si>
  <si>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</si>
  <si>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</si>
  <si>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</si>
  <si>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</si>
  <si>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</si>
  <si>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</si>
  <si>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</si>
  <si>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</si>
  <si>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</si>
  <si>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</si>
  <si>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</si>
  <si>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</si>
  <si>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</si>
  <si>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</si>
  <si>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</si>
  <si>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</si>
  <si>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</si>
  <si>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</si>
  <si>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</si>
  <si>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</si>
  <si>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</si>
  <si>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</si>
  <si>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</si>
  <si>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</si>
  <si>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</si>
  <si>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</si>
  <si>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</si>
  <si>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</si>
  <si>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</si>
  <si>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</si>
  <si>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</si>
  <si>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</si>
  <si>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</si>
  <si>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</si>
  <si>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</si>
  <si>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</si>
  <si>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</si>
  <si>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</si>
  <si>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</si>
  <si>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</si>
  <si>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</si>
  <si>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</si>
  <si>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</si>
  <si>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</si>
  <si>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</si>
  <si>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</si>
  <si>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</si>
  <si>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</si>
  <si>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</si>
  <si>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</si>
  <si>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</si>
  <si>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</si>
  <si>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</si>
  <si>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</si>
  <si>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</si>
  <si>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</si>
  <si>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</si>
  <si>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</si>
  <si>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</si>
  <si>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</si>
  <si>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</si>
  <si>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</si>
  <si>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</si>
  <si>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</si>
  <si>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</si>
  <si>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</si>
  <si>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</si>
  <si>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</si>
  <si>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</si>
  <si>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</si>
  <si>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</si>
  <si>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</si>
  <si>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</si>
  <si>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</si>
  <si>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</si>
  <si>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</si>
  <si>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</si>
  <si>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</si>
  <si>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</si>
  <si>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</si>
  <si>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</si>
  <si>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</si>
  <si>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</si>
  <si>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</si>
  <si>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</si>
  <si>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</si>
  <si>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</si>
  <si>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</si>
  <si>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</si>
  <si>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</si>
  <si>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</si>
  <si>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</si>
  <si>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</si>
  <si>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</si>
  <si>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</si>
  <si>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</si>
  <si>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</si>
  <si>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</si>
  <si>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</si>
  <si>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</si>
  <si>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</si>
  <si>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</si>
  <si>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</si>
  <si>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</si>
  <si>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</si>
  <si>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</si>
  <si>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</si>
  <si>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</si>
  <si>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</si>
  <si>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</si>
  <si>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</si>
  <si>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</si>
  <si>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</si>
  <si>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</si>
  <si>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</si>
  <si>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</si>
  <si>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</si>
  <si>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</si>
  <si>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</si>
  <si>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</si>
  <si>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</si>
  <si>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</si>
  <si>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</si>
  <si>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</si>
  <si>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</si>
  <si>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</si>
  <si>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</si>
  <si>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</si>
  <si>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</si>
  <si>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</si>
  <si>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</si>
  <si>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</si>
  <si>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</si>
  <si>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</si>
  <si>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</si>
  <si>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</si>
  <si>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</si>
  <si>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</si>
  <si>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</si>
  <si>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</si>
  <si>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</si>
  <si>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</si>
  <si>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</si>
  <si>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</si>
  <si>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</si>
  <si>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</si>
  <si>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</si>
  <si>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</si>
  <si>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</si>
  <si>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</si>
  <si>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</si>
  <si>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</si>
  <si>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</si>
  <si>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</si>
  <si>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</si>
  <si>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</si>
  <si>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</si>
  <si>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</si>
  <si>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</si>
  <si>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</si>
  <si>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</si>
  <si>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</si>
  <si>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</si>
  <si>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</si>
  <si>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</si>
  <si>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</si>
  <si>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</si>
  <si>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</si>
  <si>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</si>
  <si>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</si>
  <si>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</si>
  <si>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</si>
  <si>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</si>
  <si>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</si>
  <si>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</si>
  <si>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</si>
  <si>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</si>
  <si>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</si>
  <si>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</si>
  <si>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</si>
  <si>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</si>
  <si>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</si>
  <si>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</si>
  <si>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</si>
  <si>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</si>
  <si>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</si>
  <si>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</si>
  <si>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</si>
  <si>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</si>
  <si>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</si>
  <si>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</si>
  <si>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</si>
  <si>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</si>
  <si>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</si>
  <si>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</si>
  <si>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</si>
  <si>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</si>
  <si>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</si>
  <si>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</si>
  <si>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</si>
  <si>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</si>
  <si>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</si>
  <si>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</si>
  <si>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</si>
  <si>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</si>
  <si>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</si>
  <si>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</si>
  <si>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</si>
  <si>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</si>
  <si>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</si>
  <si>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</si>
  <si>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</si>
  <si>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</si>
  <si>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</si>
  <si>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</si>
  <si>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</si>
  <si>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</si>
  <si>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</si>
  <si>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</si>
  <si>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</si>
  <si>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</si>
  <si>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</si>
  <si>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</si>
  <si>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</si>
  <si>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</si>
  <si>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</si>
  <si>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</si>
  <si>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</si>
  <si>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</si>
  <si>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</si>
  <si>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</si>
  <si>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</si>
  <si>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</si>
  <si>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</si>
  <si>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</si>
  <si>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</si>
  <si>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</si>
  <si>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</si>
  <si>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</si>
  <si>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</si>
  <si>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</si>
  <si>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</si>
  <si>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</si>
  <si>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</si>
  <si>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</si>
  <si>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</si>
  <si>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</si>
  <si>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</si>
  <si>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</si>
  <si>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</si>
  <si>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</si>
  <si>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</si>
  <si>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</si>
  <si>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</si>
  <si>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</si>
  <si>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</si>
  <si>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</si>
  <si>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</si>
  <si>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</si>
  <si>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</si>
  <si>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</si>
  <si>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</si>
  <si>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</si>
  <si>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</si>
  <si>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</si>
  <si>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</si>
  <si>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</si>
  <si>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</si>
  <si>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</si>
  <si>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</si>
  <si>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</si>
  <si>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</si>
  <si>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</si>
  <si>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</si>
  <si>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</si>
  <si>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</si>
  <si>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</si>
  <si>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</si>
  <si>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</si>
  <si>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</si>
  <si>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</si>
  <si>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</si>
  <si>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</si>
  <si>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</si>
  <si>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</si>
  <si>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</si>
  <si>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</si>
  <si>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</si>
  <si>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</si>
  <si>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</si>
  <si>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</si>
  <si>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</si>
  <si>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</si>
  <si>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</si>
  <si>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</si>
  <si>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</si>
  <si>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</si>
  <si>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</si>
  <si>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</si>
  <si>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</si>
  <si>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</si>
  <si>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samanta.rojnic@medekoservis.hr</t>
  </si>
  <si>
    <t>052573136</t>
  </si>
  <si>
    <t>Samanta Radman Rojnić</t>
  </si>
  <si>
    <t>18426902929</t>
  </si>
  <si>
    <t>01100556</t>
  </si>
  <si>
    <t>040095616</t>
  </si>
  <si>
    <t>ALBANEŽ DOO</t>
  </si>
  <si>
    <t>POMER 1, POMER</t>
  </si>
  <si>
    <t>www.albanez.hr</t>
  </si>
  <si>
    <t>EDO KRAJCAR mag.oec.</t>
  </si>
  <si>
    <t>PULA</t>
  </si>
  <si>
    <t>reklamacije@albanez.hr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</si>
</sst>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7365848.24</v>
      </c>
      <c r="I3" s="31">
        <f>ABS(ROUND(J3,0)-J3)+ABS(ROUND(K3,0)-K3)</f>
        <v>0</v>
      </c>
      <c r="J3" s="31">
        <f>Bilanca!I10</f>
        <v>119968328</v>
      </c>
      <c r="K3" s="31">
        <f>Bilanca!J10</f>
        <v>124162042</v>
      </c>
    </row>
    <row r="4" spans="1:11" ht="12.75">
      <c r="A4" s="4" t="s">
        <v>1088</v>
      </c>
      <c r="B4" s="29" t="s">
        <v>1888</v>
      </c>
      <c r="D4" s="4" t="s">
        <v>1521</v>
      </c>
      <c r="E4" s="4">
        <v>1</v>
      </c>
      <c r="F4" s="4">
        <f>Bilanca!G11</f>
        <v>3</v>
      </c>
      <c r="G4" s="4">
        <f>IF(Bilanca!H11=0,"",Bilanca!H11)</f>
      </c>
      <c r="H4" s="30">
        <f>J4/100*F4+2*K4/100*F4</f>
        <v>141929.61000000002</v>
      </c>
      <c r="I4" s="31">
        <f>ABS(ROUND(J4,0)-J4)+ABS(ROUND(K4,0)-K4)</f>
        <v>0</v>
      </c>
      <c r="J4" s="31">
        <f>Bilanca!I11</f>
        <v>1435557</v>
      </c>
      <c r="K4" s="31">
        <f>Bilanca!J11</f>
        <v>1647715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01100556</v>
      </c>
      <c r="D6" s="4" t="s">
        <v>1521</v>
      </c>
      <c r="E6" s="4">
        <v>1</v>
      </c>
      <c r="F6" s="4">
        <f>Bilanca!G13</f>
        <v>5</v>
      </c>
      <c r="G6" s="4">
        <f>IF(Bilanca!H13=0,"",Bilanca!H13)</f>
      </c>
      <c r="H6" s="30">
        <f aca="true" t="shared" si="0" ref="H6:H45">J6/100*F6+2*K6/100*F6</f>
        <v>236549.35</v>
      </c>
      <c r="I6" s="31">
        <f aca="true" t="shared" si="1" ref="I6:I45">ABS(ROUND(J6,0)-J6)+ABS(ROUND(K6,0)-K6)</f>
        <v>0</v>
      </c>
      <c r="J6" s="31">
        <f>Bilanca!I13</f>
        <v>1435557</v>
      </c>
      <c r="K6" s="31">
        <f>Bilanca!J13</f>
        <v>1647715</v>
      </c>
    </row>
    <row r="7" spans="1:11" ht="12.75">
      <c r="A7" s="4" t="s">
        <v>2353</v>
      </c>
      <c r="B7" s="29" t="str">
        <f>RefStr!M27</f>
        <v>040095616</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18426902929</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ALBANEŽ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52100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PULA</v>
      </c>
      <c r="D11" s="4" t="s">
        <v>1521</v>
      </c>
      <c r="E11" s="4">
        <v>1</v>
      </c>
      <c r="F11" s="4">
        <f>Bilanca!G18</f>
        <v>10</v>
      </c>
      <c r="G11" s="4">
        <f>IF(Bilanca!H18=0,"",Bilanca!H18)</f>
      </c>
      <c r="H11" s="30">
        <f t="shared" si="0"/>
        <v>35813642.5</v>
      </c>
      <c r="I11" s="31">
        <f t="shared" si="1"/>
        <v>0</v>
      </c>
      <c r="J11" s="31">
        <f>Bilanca!I18</f>
        <v>116257771</v>
      </c>
      <c r="K11" s="31">
        <f>Bilanca!J18</f>
        <v>120939327</v>
      </c>
    </row>
    <row r="12" spans="1:11" ht="12.75">
      <c r="A12" s="4" t="s">
        <v>2357</v>
      </c>
      <c r="B12" s="29" t="str">
        <f>TRIM(RefStr!C33)</f>
        <v>POMER 1, POMER</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reklamacije@albanez.hr</v>
      </c>
      <c r="D13" s="4" t="s">
        <v>1521</v>
      </c>
      <c r="E13" s="4">
        <v>1</v>
      </c>
      <c r="F13" s="4">
        <f>Bilanca!G20</f>
        <v>12</v>
      </c>
      <c r="G13" s="4">
        <f>IF(Bilanca!H20=0,"",Bilanca!H20)</f>
      </c>
      <c r="H13" s="30">
        <f t="shared" si="0"/>
        <v>41353011.96</v>
      </c>
      <c r="I13" s="31">
        <f t="shared" si="1"/>
        <v>0</v>
      </c>
      <c r="J13" s="31">
        <f>Bilanca!I20</f>
        <v>112265917</v>
      </c>
      <c r="K13" s="31">
        <f>Bilanca!J20</f>
        <v>116171258</v>
      </c>
    </row>
    <row r="14" spans="1:11" ht="12.75">
      <c r="A14" s="4" t="s">
        <v>1194</v>
      </c>
      <c r="B14" s="29" t="str">
        <f>TRIM(RefStr!C37)</f>
        <v>www.albanez.hr</v>
      </c>
      <c r="D14" s="4" t="s">
        <v>1521</v>
      </c>
      <c r="E14" s="4">
        <v>1</v>
      </c>
      <c r="F14" s="4">
        <f>Bilanca!G21</f>
        <v>13</v>
      </c>
      <c r="G14" s="4">
        <f>IF(Bilanca!H21=0,"",Bilanca!H21)</f>
      </c>
      <c r="H14" s="30">
        <f t="shared" si="0"/>
        <v>15201.679999999998</v>
      </c>
      <c r="I14" s="31">
        <f t="shared" si="1"/>
        <v>0</v>
      </c>
      <c r="J14" s="31">
        <f>Bilanca!I21</f>
        <v>42196</v>
      </c>
      <c r="K14" s="31">
        <f>Bilanca!J21</f>
        <v>37370</v>
      </c>
    </row>
    <row r="15" spans="1:11" ht="12.75">
      <c r="A15" s="4" t="s">
        <v>2360</v>
      </c>
      <c r="B15" s="29" t="str">
        <f>TEXT(RefStr!J39,"00")</f>
        <v>18</v>
      </c>
      <c r="D15" s="4" t="s">
        <v>1521</v>
      </c>
      <c r="E15" s="4">
        <v>1</v>
      </c>
      <c r="F15" s="4">
        <f>Bilanca!G22</f>
        <v>14</v>
      </c>
      <c r="G15" s="4">
        <f>IF(Bilanca!H22=0,"",Bilanca!H22)</f>
      </c>
      <c r="H15" s="30">
        <f t="shared" si="0"/>
        <v>73918.45999999999</v>
      </c>
      <c r="I15" s="31">
        <f t="shared" si="1"/>
        <v>0</v>
      </c>
      <c r="J15" s="31">
        <f>Bilanca!I22</f>
        <v>124201</v>
      </c>
      <c r="K15" s="31">
        <f>Bilanca!J22</f>
        <v>201894</v>
      </c>
    </row>
    <row r="16" spans="1:11" ht="12.75">
      <c r="A16" s="4" t="s">
        <v>2359</v>
      </c>
      <c r="B16" s="29" t="str">
        <f>TEXT(RefStr!C39,"000")</f>
        <v>263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3700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2190121.39</v>
      </c>
      <c r="I18" s="31">
        <f t="shared" si="1"/>
        <v>0</v>
      </c>
      <c r="J18" s="31">
        <f>Bilanca!I25</f>
        <v>3825457</v>
      </c>
      <c r="K18" s="31">
        <f>Bilanca!J25</f>
        <v>4528805</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1681750</v>
      </c>
      <c r="I32" s="31">
        <f t="shared" si="1"/>
        <v>0</v>
      </c>
      <c r="J32" s="31">
        <f>Bilanca!I39</f>
        <v>2275000</v>
      </c>
      <c r="K32" s="31">
        <f>Bilanca!J39</f>
        <v>1575000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1898750</v>
      </c>
      <c r="I36" s="31">
        <f t="shared" si="1"/>
        <v>0</v>
      </c>
      <c r="J36" s="31">
        <f>Bilanca!I43</f>
        <v>2275000</v>
      </c>
      <c r="K36" s="31">
        <f>Bilanca!J43</f>
        <v>1575000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6907660.61</v>
      </c>
      <c r="I38" s="31">
        <f t="shared" si="1"/>
        <v>0</v>
      </c>
      <c r="J38" s="31">
        <f>Bilanca!I45</f>
        <v>7249375</v>
      </c>
      <c r="K38" s="31">
        <f>Bilanca!J45</f>
        <v>5709989</v>
      </c>
    </row>
    <row r="39" spans="1:11" ht="12.75">
      <c r="A39" s="4" t="s">
        <v>1216</v>
      </c>
      <c r="B39" s="29" t="str">
        <f>RefStr!C68</f>
        <v>Samanta Radman Rojnić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052573136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samanta.rojnic@medekoservis.hr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EDO KRAJCAR mag.oec.</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3228556</v>
      </c>
      <c r="I47" s="31">
        <f t="shared" si="3"/>
        <v>0</v>
      </c>
      <c r="J47" s="31">
        <f>Bilanca!I54</f>
        <v>4107248</v>
      </c>
      <c r="K47" s="31">
        <f>Bilanca!J54</f>
        <v>1455676</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752263.19</v>
      </c>
      <c r="I50" s="31">
        <f t="shared" si="3"/>
        <v>0</v>
      </c>
      <c r="J50" s="31">
        <f>Bilanca!I57</f>
        <v>416083</v>
      </c>
      <c r="K50" s="31">
        <f>Bilanca!J57</f>
        <v>559574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219278.07</v>
      </c>
      <c r="I52" s="31">
        <f t="shared" si="3"/>
        <v>0</v>
      </c>
      <c r="J52" s="31">
        <f>Bilanca!I59</f>
        <v>154419</v>
      </c>
      <c r="K52" s="31">
        <f>Bilanca!J59</f>
        <v>137769</v>
      </c>
    </row>
    <row r="53" spans="1:11" ht="12.75">
      <c r="A53" s="4" t="s">
        <v>532</v>
      </c>
      <c r="B53" s="29" t="str">
        <f>RefStr!I56</f>
        <v>DA</v>
      </c>
      <c r="D53" s="4" t="s">
        <v>1521</v>
      </c>
      <c r="E53" s="4">
        <v>1</v>
      </c>
      <c r="F53" s="4">
        <f>Bilanca!G60</f>
        <v>52</v>
      </c>
      <c r="G53" s="4">
        <f>IF(Bilanca!H60=0,"",Bilanca!H60)</f>
      </c>
      <c r="H53" s="30">
        <f t="shared" si="2"/>
        <v>2627774.2399999998</v>
      </c>
      <c r="I53" s="31">
        <f t="shared" si="3"/>
        <v>0</v>
      </c>
      <c r="J53" s="31">
        <f>Bilanca!I60</f>
        <v>3536746</v>
      </c>
      <c r="K53" s="31">
        <f>Bilanca!J60</f>
        <v>758333</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1791749621.5999994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7339974.39</v>
      </c>
      <c r="I64" s="31">
        <f t="shared" si="3"/>
        <v>0</v>
      </c>
      <c r="J64" s="31">
        <f>Bilanca!I71</f>
        <v>3142127</v>
      </c>
      <c r="K64" s="31">
        <f>Bilanca!J71</f>
        <v>4254313</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251525147.25</v>
      </c>
      <c r="I66" s="31">
        <f t="shared" si="3"/>
        <v>0</v>
      </c>
      <c r="J66" s="31">
        <f>Bilanca!I73</f>
        <v>127217703</v>
      </c>
      <c r="K66" s="31">
        <f>Bilanca!J73</f>
        <v>129872031</v>
      </c>
    </row>
    <row r="67" spans="1:11" ht="12.75">
      <c r="A67" s="4" t="s">
        <v>689</v>
      </c>
      <c r="B67" s="29" t="str">
        <f>RefStr!L35</f>
        <v>052573136</v>
      </c>
      <c r="D67" s="4" t="s">
        <v>1521</v>
      </c>
      <c r="E67" s="4">
        <v>1</v>
      </c>
      <c r="F67" s="4">
        <f>Bilanca!G74</f>
        <v>66</v>
      </c>
      <c r="G67" s="4">
        <f>IF(Bilanca!H74=0,"",Bilanca!H74)</f>
      </c>
      <c r="H67" s="30">
        <f t="shared" si="2"/>
        <v>6943355.76</v>
      </c>
      <c r="I67" s="31">
        <f t="shared" si="3"/>
        <v>0</v>
      </c>
      <c r="J67" s="31">
        <f>Bilanca!I74</f>
        <v>3511444</v>
      </c>
      <c r="K67" s="31">
        <f>Bilanca!J74</f>
        <v>3504396</v>
      </c>
    </row>
    <row r="68" spans="1:11" ht="12.75">
      <c r="A68" s="4" t="s">
        <v>690</v>
      </c>
      <c r="B68" s="29">
        <f>RefStr!C44</f>
        <v>1</v>
      </c>
      <c r="D68" s="4" t="s">
        <v>1521</v>
      </c>
      <c r="E68" s="4">
        <v>1</v>
      </c>
      <c r="F68" s="4">
        <f>Bilanca!G76</f>
        <v>67</v>
      </c>
      <c r="G68" s="4">
        <f>IF(Bilanca!H76=0,"",Bilanca!H76)</f>
      </c>
      <c r="H68" s="30">
        <f t="shared" si="2"/>
        <v>83129.58</v>
      </c>
      <c r="I68" s="31">
        <f t="shared" si="3"/>
        <v>0</v>
      </c>
      <c r="J68" s="31">
        <f>Bilanca!I76</f>
        <v>39994</v>
      </c>
      <c r="K68" s="31">
        <f>Bilanca!J76</f>
        <v>42040</v>
      </c>
    </row>
    <row r="69" spans="1:11" ht="12.75">
      <c r="A69" s="4" t="s">
        <v>691</v>
      </c>
      <c r="B69" s="29">
        <f>RefStr!M46</f>
        <v>0</v>
      </c>
      <c r="D69" s="4" t="s">
        <v>1521</v>
      </c>
      <c r="E69" s="4">
        <v>1</v>
      </c>
      <c r="F69" s="4">
        <f>Bilanca!G77</f>
        <v>68</v>
      </c>
      <c r="G69" s="4">
        <f>IF(Bilanca!H77=0,"",Bilanca!H77)</f>
      </c>
      <c r="H69" s="30">
        <f t="shared" si="2"/>
        <v>6948240</v>
      </c>
      <c r="I69" s="31">
        <f t="shared" si="3"/>
        <v>0</v>
      </c>
      <c r="J69" s="31">
        <f>Bilanca!I77</f>
        <v>3406000</v>
      </c>
      <c r="K69" s="31">
        <f>Bilanca!J77</f>
        <v>3406000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-8029382.58</v>
      </c>
      <c r="I82" s="31">
        <f t="shared" si="3"/>
        <v>0</v>
      </c>
      <c r="J82" s="31">
        <f>Bilanca!I90</f>
        <v>-3180806</v>
      </c>
      <c r="K82" s="31">
        <f>Bilanca!J90</f>
        <v>-3366006</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8227638.9399999995</v>
      </c>
      <c r="I84" s="31">
        <f t="shared" si="3"/>
        <v>0</v>
      </c>
      <c r="J84" s="31">
        <f>Bilanca!I92</f>
        <v>3180806</v>
      </c>
      <c r="K84" s="31">
        <f>Bilanca!J92</f>
        <v>3366006</v>
      </c>
    </row>
    <row r="85" spans="4:11" ht="12.75">
      <c r="D85" s="4" t="s">
        <v>1521</v>
      </c>
      <c r="E85" s="4">
        <v>1</v>
      </c>
      <c r="F85" s="4">
        <f>Bilanca!G93</f>
        <v>84</v>
      </c>
      <c r="G85" s="4">
        <f>IF(Bilanca!H93=0,"",Bilanca!H93)</f>
      </c>
      <c r="H85" s="30">
        <f>J85/100*F85+2*K85/100*F85</f>
        <v>-152130.72</v>
      </c>
      <c r="I85" s="31">
        <f>ABS(ROUND(J85,0)-J85)+ABS(ROUND(K85,0)-K85)</f>
        <v>0</v>
      </c>
      <c r="J85" s="31">
        <f>Bilanca!I93</f>
        <v>-185200</v>
      </c>
      <c r="K85" s="31">
        <f>Bilanca!J93</f>
        <v>2046</v>
      </c>
    </row>
    <row r="86" spans="4:11" ht="12.75">
      <c r="D86" s="4" t="s">
        <v>1521</v>
      </c>
      <c r="E86" s="4">
        <v>1</v>
      </c>
      <c r="F86" s="4">
        <f>Bilanca!G94</f>
        <v>85</v>
      </c>
      <c r="G86" s="4">
        <f>IF(Bilanca!H94=0,"",Bilanca!H94)</f>
      </c>
      <c r="H86" s="30">
        <f>J86/100*F86+2*K86/100*F86</f>
        <v>3478.2000000000003</v>
      </c>
      <c r="I86" s="31">
        <f>ABS(ROUND(J86,0)-J86)+ABS(ROUND(K86,0)-K86)</f>
        <v>0</v>
      </c>
      <c r="J86" s="31">
        <f>Bilanca!I94</f>
        <v>0</v>
      </c>
      <c r="K86" s="31">
        <f>Bilanca!J94</f>
        <v>2046</v>
      </c>
    </row>
    <row r="87" spans="4:11" ht="12.75">
      <c r="D87" s="4" t="s">
        <v>1521</v>
      </c>
      <c r="E87" s="4">
        <v>1</v>
      </c>
      <c r="F87" s="4">
        <f>Bilanca!G95</f>
        <v>86</v>
      </c>
      <c r="G87" s="4">
        <f>IF(Bilanca!H95=0,"",Bilanca!H95)</f>
      </c>
      <c r="H87" s="30">
        <f aca="true" t="shared" si="4" ref="H87:H127">J87/100*F87+2*K87/100*F87</f>
        <v>159272</v>
      </c>
      <c r="I87" s="31">
        <f aca="true" t="shared" si="5" ref="I87:I127">ABS(ROUND(J87,0)-J87)+ABS(ROUND(K87,0)-K87)</f>
        <v>0</v>
      </c>
      <c r="J87" s="31">
        <f>Bilanca!I95</f>
        <v>185200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888373.2000000001</v>
      </c>
      <c r="I89" s="31">
        <f t="shared" si="5"/>
        <v>0</v>
      </c>
      <c r="J89" s="31">
        <f>Bilanca!I97</f>
        <v>276505</v>
      </c>
      <c r="K89" s="31">
        <f>Bilanca!J97</f>
        <v>366505</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873600</v>
      </c>
      <c r="I92" s="31">
        <f t="shared" si="5"/>
        <v>0</v>
      </c>
      <c r="J92" s="31">
        <f>Bilanca!I100</f>
        <v>260000</v>
      </c>
      <c r="K92" s="31">
        <f>Bilanca!J100</f>
        <v>350000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46544.100000000006</v>
      </c>
      <c r="I95" s="31">
        <f t="shared" si="5"/>
        <v>0</v>
      </c>
      <c r="J95" s="31">
        <f>Bilanca!I103</f>
        <v>16505</v>
      </c>
      <c r="K95" s="31">
        <f>Bilanca!J103</f>
        <v>16505</v>
      </c>
    </row>
    <row r="96" spans="4:11" ht="12.75">
      <c r="D96" s="4" t="s">
        <v>1521</v>
      </c>
      <c r="E96" s="4">
        <v>1</v>
      </c>
      <c r="F96" s="4">
        <f>Bilanca!G104</f>
        <v>95</v>
      </c>
      <c r="G96" s="4">
        <f>IF(Bilanca!H104=0,"",Bilanca!H104)</f>
      </c>
      <c r="H96" s="30">
        <f t="shared" si="4"/>
        <v>38207570.25</v>
      </c>
      <c r="I96" s="31">
        <f t="shared" si="5"/>
        <v>0</v>
      </c>
      <c r="J96" s="31">
        <f>Bilanca!I104</f>
        <v>15396279</v>
      </c>
      <c r="K96" s="31">
        <f>Bilanca!J104</f>
        <v>12411108</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34588899</v>
      </c>
      <c r="I101" s="31">
        <f t="shared" si="5"/>
        <v>0</v>
      </c>
      <c r="J101" s="31">
        <f>Bilanca!I109</f>
        <v>13081729</v>
      </c>
      <c r="K101" s="31">
        <f>Bilanca!J109</f>
        <v>10753585</v>
      </c>
    </row>
    <row r="102" spans="4:11" ht="12.75">
      <c r="D102" s="4" t="s">
        <v>1521</v>
      </c>
      <c r="E102" s="4">
        <v>1</v>
      </c>
      <c r="F102" s="4">
        <f>Bilanca!G110</f>
        <v>101</v>
      </c>
      <c r="G102" s="4">
        <f>IF(Bilanca!H110=0,"",Bilanca!H110)</f>
      </c>
      <c r="H102" s="30">
        <f t="shared" si="4"/>
        <v>5645946.46</v>
      </c>
      <c r="I102" s="31">
        <f t="shared" si="5"/>
        <v>0</v>
      </c>
      <c r="J102" s="31">
        <f>Bilanca!I110</f>
        <v>2275000</v>
      </c>
      <c r="K102" s="31">
        <f>Bilanca!J110</f>
        <v>1657523</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40736.5</v>
      </c>
      <c r="I104" s="31">
        <f t="shared" si="5"/>
        <v>0</v>
      </c>
      <c r="J104" s="31">
        <f>Bilanca!I112</f>
        <v>39550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18513347.58</v>
      </c>
      <c r="I108" s="31">
        <f t="shared" si="5"/>
        <v>0</v>
      </c>
      <c r="J108" s="31">
        <f>Bilanca!I116</f>
        <v>7471708</v>
      </c>
      <c r="K108" s="31">
        <f>Bilanca!J116</f>
        <v>4915243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7515668.16</v>
      </c>
      <c r="I113" s="31">
        <f t="shared" si="5"/>
        <v>0</v>
      </c>
      <c r="J113" s="31">
        <f>Bilanca!I121</f>
        <v>2236806</v>
      </c>
      <c r="K113" s="31">
        <f>Bilanca!J121</f>
        <v>2236806</v>
      </c>
    </row>
    <row r="114" spans="4:11" ht="12.75">
      <c r="D114" s="4" t="s">
        <v>1521</v>
      </c>
      <c r="E114" s="4">
        <v>1</v>
      </c>
      <c r="F114" s="4">
        <f>Bilanca!G122</f>
        <v>113</v>
      </c>
      <c r="G114" s="4">
        <f>IF(Bilanca!H122=0,"",Bilanca!H122)</f>
      </c>
      <c r="H114" s="30">
        <f t="shared" si="4"/>
        <v>3325914.31</v>
      </c>
      <c r="I114" s="31">
        <f t="shared" si="5"/>
        <v>0</v>
      </c>
      <c r="J114" s="31">
        <f>Bilanca!I122</f>
        <v>1508333</v>
      </c>
      <c r="K114" s="31">
        <f>Bilanca!J122</f>
        <v>717477</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7931579.899999999</v>
      </c>
      <c r="I116" s="31">
        <f t="shared" si="5"/>
        <v>0</v>
      </c>
      <c r="J116" s="31">
        <f>Bilanca!I124</f>
        <v>3579752</v>
      </c>
      <c r="K116" s="31">
        <f>Bilanca!J124</f>
        <v>1658637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589850.8200000001</v>
      </c>
      <c r="I118" s="31">
        <f t="shared" si="5"/>
        <v>0</v>
      </c>
      <c r="J118" s="31">
        <f>Bilanca!I126</f>
        <v>72712</v>
      </c>
      <c r="K118" s="31">
        <f>Bilanca!J126</f>
        <v>215717</v>
      </c>
    </row>
    <row r="119" spans="4:11" ht="12.75">
      <c r="D119" s="4" t="s">
        <v>1521</v>
      </c>
      <c r="E119" s="4">
        <v>1</v>
      </c>
      <c r="F119" s="4">
        <f>Bilanca!G127</f>
        <v>118</v>
      </c>
      <c r="G119" s="4">
        <f>IF(Bilanca!H127=0,"",Bilanca!H127)</f>
      </c>
      <c r="H119" s="30">
        <f t="shared" si="4"/>
        <v>249296.24</v>
      </c>
      <c r="I119" s="31">
        <f t="shared" si="5"/>
        <v>0</v>
      </c>
      <c r="J119" s="31">
        <f>Bilanca!I127</f>
        <v>57760</v>
      </c>
      <c r="K119" s="31">
        <f>Bilanca!J127</f>
        <v>76754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43619.28999999999</v>
      </c>
      <c r="I122" s="31">
        <f t="shared" si="5"/>
        <v>0</v>
      </c>
      <c r="J122" s="31">
        <f>Bilanca!I130</f>
        <v>16345</v>
      </c>
      <c r="K122" s="31">
        <f>Bilanca!J130</f>
        <v>9852</v>
      </c>
    </row>
    <row r="123" spans="4:11" ht="12.75">
      <c r="D123" s="4" t="s">
        <v>1521</v>
      </c>
      <c r="E123" s="4">
        <v>1</v>
      </c>
      <c r="F123" s="4">
        <f>Bilanca!G131</f>
        <v>122</v>
      </c>
      <c r="G123" s="4">
        <f>IF(Bilanca!H131=0,"",Bilanca!H131)</f>
      </c>
      <c r="H123" s="30">
        <f t="shared" si="4"/>
        <v>400535134.14000005</v>
      </c>
      <c r="I123" s="31">
        <f t="shared" si="5"/>
        <v>0</v>
      </c>
      <c r="J123" s="31">
        <f>Bilanca!I131</f>
        <v>104033217</v>
      </c>
      <c r="K123" s="31">
        <f>Bilanca!J131</f>
        <v>112137135</v>
      </c>
    </row>
    <row r="124" spans="4:11" ht="12.75">
      <c r="D124" s="4" t="s">
        <v>1521</v>
      </c>
      <c r="E124" s="4">
        <v>1</v>
      </c>
      <c r="F124" s="4">
        <f>Bilanca!G132</f>
        <v>123</v>
      </c>
      <c r="G124" s="4">
        <f>IF(Bilanca!H132=0,"",Bilanca!H132)</f>
      </c>
      <c r="H124" s="30">
        <f t="shared" si="4"/>
        <v>475962970.95</v>
      </c>
      <c r="I124" s="31">
        <f t="shared" si="5"/>
        <v>0</v>
      </c>
      <c r="J124" s="31">
        <f>Bilanca!I132</f>
        <v>127217703</v>
      </c>
      <c r="K124" s="31">
        <f>Bilanca!J132</f>
        <v>129872031</v>
      </c>
    </row>
    <row r="125" spans="4:11" ht="12.75">
      <c r="D125" s="4" t="s">
        <v>1521</v>
      </c>
      <c r="E125" s="4">
        <v>1</v>
      </c>
      <c r="F125" s="4">
        <f>Bilanca!G133</f>
        <v>124</v>
      </c>
      <c r="G125" s="4">
        <f>IF(Bilanca!H133=0,"",Bilanca!H133)</f>
      </c>
      <c r="H125" s="30">
        <f t="shared" si="4"/>
        <v>13045092.64</v>
      </c>
      <c r="I125" s="31">
        <f t="shared" si="5"/>
        <v>0</v>
      </c>
      <c r="J125" s="31">
        <f>Bilanca!I133</f>
        <v>3511444</v>
      </c>
      <c r="K125" s="31">
        <f>Bilanca!J133</f>
        <v>3504396</v>
      </c>
    </row>
    <row r="126" spans="4:11" ht="12.75">
      <c r="D126" s="4" t="s">
        <v>541</v>
      </c>
      <c r="E126" s="4">
        <v>2</v>
      </c>
      <c r="F126" s="4">
        <f>RDG!G8</f>
        <v>125</v>
      </c>
      <c r="G126" s="4">
        <f>IF(RDG!H8=0,"",RDG!H8)</f>
      </c>
      <c r="H126" s="30">
        <f t="shared" si="4"/>
        <v>29021925</v>
      </c>
      <c r="I126" s="4">
        <f t="shared" si="5"/>
        <v>0</v>
      </c>
      <c r="J126" s="31">
        <f>RDG!I8</f>
        <v>7232664</v>
      </c>
      <c r="K126" s="31">
        <f>RDG!J8</f>
        <v>7992438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16509700.280000001</v>
      </c>
      <c r="I128" s="4">
        <f aca="true" t="shared" si="7" ref="I128:I190">ABS(ROUND(J128,0)-J128)+ABS(ROUND(K128,0)-K128)</f>
        <v>0</v>
      </c>
      <c r="J128" s="31">
        <f>RDG!I10</f>
        <v>4062304</v>
      </c>
      <c r="K128" s="31">
        <f>RDG!J10</f>
        <v>4468730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13283108.8</v>
      </c>
      <c r="I131" s="4">
        <f t="shared" si="7"/>
        <v>0</v>
      </c>
      <c r="J131" s="31">
        <f>RDG!I13</f>
        <v>3170360</v>
      </c>
      <c r="K131" s="31">
        <f>RDG!J13</f>
        <v>3523708</v>
      </c>
    </row>
    <row r="132" spans="4:11" ht="12.75">
      <c r="D132" s="4" t="s">
        <v>541</v>
      </c>
      <c r="E132" s="4">
        <v>2</v>
      </c>
      <c r="F132" s="4">
        <f>RDG!G14</f>
        <v>131</v>
      </c>
      <c r="G132" s="4">
        <f>IF(RDG!H14=0,"",RDG!H14)</f>
      </c>
      <c r="H132" s="30">
        <f t="shared" si="6"/>
        <v>29964882.36</v>
      </c>
      <c r="I132" s="4">
        <f t="shared" si="7"/>
        <v>0</v>
      </c>
      <c r="J132" s="31">
        <f>RDG!I14</f>
        <v>7208166</v>
      </c>
      <c r="K132" s="31">
        <f>RDG!J14</f>
        <v>7832895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9755536.7</v>
      </c>
      <c r="I134" s="4">
        <f t="shared" si="7"/>
        <v>0</v>
      </c>
      <c r="J134" s="31">
        <f>RDG!I16</f>
        <v>2454234</v>
      </c>
      <c r="K134" s="31">
        <f>RDG!J16</f>
        <v>2440378</v>
      </c>
    </row>
    <row r="135" spans="4:11" ht="12.75">
      <c r="D135" s="4" t="s">
        <v>541</v>
      </c>
      <c r="E135" s="4">
        <v>2</v>
      </c>
      <c r="F135" s="4">
        <f>RDG!G17</f>
        <v>134</v>
      </c>
      <c r="G135" s="4">
        <f>IF(RDG!H17=0,"",RDG!H17)</f>
      </c>
      <c r="H135" s="30">
        <f t="shared" si="6"/>
        <v>2082212.5999999999</v>
      </c>
      <c r="I135" s="4">
        <f t="shared" si="7"/>
        <v>0</v>
      </c>
      <c r="J135" s="31">
        <f>RDG!I17</f>
        <v>481844</v>
      </c>
      <c r="K135" s="31">
        <f>RDG!J17</f>
        <v>536023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7862296</v>
      </c>
      <c r="I137" s="4">
        <f t="shared" si="7"/>
        <v>0</v>
      </c>
      <c r="J137" s="31">
        <f>RDG!I19</f>
        <v>1972390</v>
      </c>
      <c r="K137" s="31">
        <f>RDG!J19</f>
        <v>1904355</v>
      </c>
    </row>
    <row r="138" spans="4:11" ht="12.75">
      <c r="D138" s="4" t="s">
        <v>541</v>
      </c>
      <c r="E138" s="4">
        <v>2</v>
      </c>
      <c r="F138" s="4">
        <f>RDG!G20</f>
        <v>137</v>
      </c>
      <c r="G138" s="4">
        <f>IF(RDG!H20=0,"",RDG!H20)</f>
      </c>
      <c r="H138" s="30">
        <f t="shared" si="6"/>
        <v>5828600.61</v>
      </c>
      <c r="I138" s="4">
        <f t="shared" si="7"/>
        <v>0</v>
      </c>
      <c r="J138" s="31">
        <f>RDG!I20</f>
        <v>1334079</v>
      </c>
      <c r="K138" s="31">
        <f>RDG!J20</f>
        <v>1460187</v>
      </c>
    </row>
    <row r="139" spans="4:11" ht="12.75">
      <c r="D139" s="4" t="s">
        <v>541</v>
      </c>
      <c r="E139" s="4">
        <v>2</v>
      </c>
      <c r="F139" s="4">
        <f>RDG!G21</f>
        <v>138</v>
      </c>
      <c r="G139" s="4">
        <f>IF(RDG!H21=0,"",RDG!H21)</f>
      </c>
      <c r="H139" s="30">
        <f t="shared" si="6"/>
        <v>3611293.02</v>
      </c>
      <c r="I139" s="4">
        <f t="shared" si="7"/>
        <v>0</v>
      </c>
      <c r="J139" s="31">
        <f>RDG!I21</f>
        <v>824047</v>
      </c>
      <c r="K139" s="31">
        <f>RDG!J21</f>
        <v>896416</v>
      </c>
    </row>
    <row r="140" spans="4:11" ht="12.75">
      <c r="D140" s="4" t="s">
        <v>541</v>
      </c>
      <c r="E140" s="4">
        <v>2</v>
      </c>
      <c r="F140" s="4">
        <f>RDG!G22</f>
        <v>139</v>
      </c>
      <c r="G140" s="4">
        <f>IF(RDG!H22=0,"",RDG!H22)</f>
      </c>
      <c r="H140" s="30">
        <f t="shared" si="6"/>
        <v>1408348</v>
      </c>
      <c r="I140" s="4">
        <f t="shared" si="7"/>
        <v>0</v>
      </c>
      <c r="J140" s="31">
        <f>RDG!I22</f>
        <v>314246</v>
      </c>
      <c r="K140" s="31">
        <f>RDG!J22</f>
        <v>349477</v>
      </c>
    </row>
    <row r="141" spans="4:11" ht="12.75">
      <c r="D141" s="4" t="s">
        <v>541</v>
      </c>
      <c r="E141" s="4">
        <v>2</v>
      </c>
      <c r="F141" s="4">
        <f>RDG!G23</f>
        <v>140</v>
      </c>
      <c r="G141" s="4">
        <f>IF(RDG!H23=0,"",RDG!H23)</f>
      </c>
      <c r="H141" s="30">
        <f t="shared" si="6"/>
        <v>874123.6000000001</v>
      </c>
      <c r="I141" s="4">
        <f t="shared" si="7"/>
        <v>0</v>
      </c>
      <c r="J141" s="31">
        <f>RDG!I23</f>
        <v>195786</v>
      </c>
      <c r="K141" s="31">
        <f>RDG!J23</f>
        <v>214294</v>
      </c>
    </row>
    <row r="142" spans="4:11" ht="12.75">
      <c r="D142" s="4" t="s">
        <v>541</v>
      </c>
      <c r="E142" s="4">
        <v>2</v>
      </c>
      <c r="F142" s="4">
        <f>RDG!G24</f>
        <v>141</v>
      </c>
      <c r="G142" s="4">
        <f>IF(RDG!H24=0,"",RDG!H24)</f>
      </c>
      <c r="H142" s="30">
        <f t="shared" si="6"/>
        <v>13437918.990000002</v>
      </c>
      <c r="I142" s="4">
        <f t="shared" si="7"/>
        <v>0</v>
      </c>
      <c r="J142" s="31">
        <f>RDG!I24</f>
        <v>3060571</v>
      </c>
      <c r="K142" s="31">
        <f>RDG!J24</f>
        <v>3234934</v>
      </c>
    </row>
    <row r="143" spans="4:11" ht="12.75">
      <c r="D143" s="4" t="s">
        <v>541</v>
      </c>
      <c r="E143" s="4">
        <v>2</v>
      </c>
      <c r="F143" s="4">
        <f>RDG!G25</f>
        <v>142</v>
      </c>
      <c r="G143" s="4">
        <f>IF(RDG!H25=0,"",RDG!H25)</f>
      </c>
      <c r="H143" s="30">
        <f t="shared" si="6"/>
        <v>2069036.5599999998</v>
      </c>
      <c r="I143" s="4">
        <f t="shared" si="7"/>
        <v>0</v>
      </c>
      <c r="J143" s="31">
        <f>RDG!I25</f>
        <v>337222</v>
      </c>
      <c r="K143" s="31">
        <f>RDG!J25</f>
        <v>559923</v>
      </c>
    </row>
    <row r="144" spans="4:11" ht="12.75">
      <c r="D144" s="4" t="s">
        <v>541</v>
      </c>
      <c r="E144" s="4">
        <v>2</v>
      </c>
      <c r="F144" s="4">
        <f>RDG!G26</f>
        <v>143</v>
      </c>
      <c r="G144" s="4">
        <f>IF(RDG!H26=0,"",RDG!H26)</f>
      </c>
      <c r="H144" s="30">
        <f t="shared" si="6"/>
        <v>18931.77</v>
      </c>
      <c r="I144" s="4">
        <f t="shared" si="7"/>
        <v>0</v>
      </c>
      <c r="J144" s="31">
        <f>RDG!I26</f>
        <v>3983</v>
      </c>
      <c r="K144" s="31">
        <f>RDG!J26</f>
        <v>4628</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19196.55</v>
      </c>
      <c r="I146" s="4">
        <f t="shared" si="7"/>
        <v>0</v>
      </c>
      <c r="J146" s="31">
        <f>RDG!I28</f>
        <v>3983</v>
      </c>
      <c r="K146" s="31">
        <f>RDG!J28</f>
        <v>4628</v>
      </c>
    </row>
    <row r="147" spans="4:11" ht="12.75">
      <c r="D147" s="4" t="s">
        <v>541</v>
      </c>
      <c r="E147" s="4">
        <v>2</v>
      </c>
      <c r="F147" s="4">
        <f>RDG!G29</f>
        <v>146</v>
      </c>
      <c r="G147" s="4">
        <f>IF(RDG!H29=0,"",RDG!H29)</f>
      </c>
      <c r="H147" s="30">
        <f t="shared" si="6"/>
        <v>262800</v>
      </c>
      <c r="I147" s="4">
        <f t="shared" si="7"/>
        <v>0</v>
      </c>
      <c r="J147" s="31">
        <f>RDG!I29</f>
        <v>0</v>
      </c>
      <c r="K147" s="31">
        <f>RDG!J29</f>
        <v>90000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268200</v>
      </c>
      <c r="I150" s="4">
        <f t="shared" si="7"/>
        <v>0</v>
      </c>
      <c r="J150" s="31">
        <f>RDG!I32</f>
        <v>0</v>
      </c>
      <c r="K150" s="31">
        <f>RDG!J32</f>
        <v>90000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158763.50999999998</v>
      </c>
      <c r="I154" s="4">
        <f t="shared" si="7"/>
        <v>0</v>
      </c>
      <c r="J154" s="31">
        <f>RDG!I36</f>
        <v>18077</v>
      </c>
      <c r="K154" s="31">
        <f>RDG!J36</f>
        <v>42845</v>
      </c>
    </row>
    <row r="155" spans="4:11" ht="12.75">
      <c r="D155" s="4" t="s">
        <v>541</v>
      </c>
      <c r="E155" s="4">
        <v>2</v>
      </c>
      <c r="F155" s="4">
        <f>RDG!G37</f>
        <v>154</v>
      </c>
      <c r="G155" s="4">
        <f>IF(RDG!H37=0,"",RDG!H37)</f>
      </c>
      <c r="H155" s="30">
        <f t="shared" si="6"/>
        <v>5938.24</v>
      </c>
      <c r="I155" s="4">
        <f t="shared" si="7"/>
        <v>0</v>
      </c>
      <c r="J155" s="31">
        <f>RDG!I37</f>
        <v>2150</v>
      </c>
      <c r="K155" s="31">
        <f>RDG!J37</f>
        <v>853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6208.16</v>
      </c>
      <c r="I162" s="4">
        <f t="shared" si="7"/>
        <v>0</v>
      </c>
      <c r="J162" s="31">
        <f>RDG!I44</f>
        <v>2150</v>
      </c>
      <c r="K162" s="31">
        <f>RDG!J44</f>
        <v>853</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872104.2</v>
      </c>
      <c r="I166" s="4">
        <f t="shared" si="7"/>
        <v>0</v>
      </c>
      <c r="J166" s="31">
        <f>RDG!I48</f>
        <v>211848</v>
      </c>
      <c r="K166" s="31">
        <f>RDG!J48</f>
        <v>158350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887960.64</v>
      </c>
      <c r="I169" s="4">
        <f t="shared" si="7"/>
        <v>0</v>
      </c>
      <c r="J169" s="31">
        <f>RDG!I51</f>
        <v>211848</v>
      </c>
      <c r="K169" s="31">
        <f>RDG!J51</f>
        <v>158350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41101870.92</v>
      </c>
      <c r="I178" s="4">
        <f t="shared" si="7"/>
        <v>0</v>
      </c>
      <c r="J178" s="31">
        <f>RDG!I60</f>
        <v>7234814</v>
      </c>
      <c r="K178" s="31">
        <f>RDG!J60</f>
        <v>7993291</v>
      </c>
    </row>
    <row r="179" spans="4:11" ht="12.75">
      <c r="D179" s="4" t="s">
        <v>541</v>
      </c>
      <c r="E179" s="4">
        <v>2</v>
      </c>
      <c r="F179" s="4">
        <f>RDG!G61</f>
        <v>178</v>
      </c>
      <c r="G179" s="4">
        <f>IF(RDG!H61=0,"",RDG!H61)</f>
      </c>
      <c r="H179" s="30">
        <f t="shared" si="6"/>
        <v>41656457.12</v>
      </c>
      <c r="I179" s="4">
        <f t="shared" si="7"/>
        <v>0</v>
      </c>
      <c r="J179" s="31">
        <f>RDG!I61</f>
        <v>7420014</v>
      </c>
      <c r="K179" s="31">
        <f>RDG!J61</f>
        <v>7991245</v>
      </c>
    </row>
    <row r="180" spans="4:11" ht="12.75">
      <c r="D180" s="4" t="s">
        <v>541</v>
      </c>
      <c r="E180" s="4">
        <v>2</v>
      </c>
      <c r="F180" s="4">
        <f>RDG!G62</f>
        <v>179</v>
      </c>
      <c r="G180" s="4">
        <f>IF(RDG!H62=0,"",RDG!H62)</f>
      </c>
      <c r="H180" s="30">
        <f t="shared" si="6"/>
        <v>-324183.32</v>
      </c>
      <c r="I180" s="4">
        <f t="shared" si="7"/>
        <v>0</v>
      </c>
      <c r="J180" s="31">
        <f>RDG!I62</f>
        <v>-185200</v>
      </c>
      <c r="K180" s="31">
        <f>RDG!J62</f>
        <v>2046</v>
      </c>
    </row>
    <row r="181" spans="4:11" ht="12.75">
      <c r="D181" s="4" t="s">
        <v>541</v>
      </c>
      <c r="E181" s="4">
        <v>2</v>
      </c>
      <c r="F181" s="4">
        <f>RDG!G63</f>
        <v>180</v>
      </c>
      <c r="G181" s="4">
        <f>IF(RDG!H63=0,"",RDG!H63)</f>
      </c>
      <c r="H181" s="30">
        <f t="shared" si="6"/>
        <v>7365.6</v>
      </c>
      <c r="I181" s="4">
        <f t="shared" si="7"/>
        <v>0</v>
      </c>
      <c r="J181" s="31">
        <f>RDG!I63</f>
        <v>0</v>
      </c>
      <c r="K181" s="31">
        <f>RDG!J63</f>
        <v>2046</v>
      </c>
    </row>
    <row r="182" spans="4:11" ht="12.75">
      <c r="D182" s="4" t="s">
        <v>541</v>
      </c>
      <c r="E182" s="4">
        <v>2</v>
      </c>
      <c r="F182" s="4">
        <f>RDG!G64</f>
        <v>181</v>
      </c>
      <c r="G182" s="4">
        <f>IF(RDG!H64=0,"",RDG!H64)</f>
      </c>
      <c r="H182" s="30">
        <f t="shared" si="6"/>
        <v>335212</v>
      </c>
      <c r="I182" s="4">
        <f t="shared" si="7"/>
        <v>0</v>
      </c>
      <c r="J182" s="31">
        <f>RDG!I64</f>
        <v>185200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-331427.64</v>
      </c>
      <c r="I184" s="4">
        <f t="shared" si="7"/>
        <v>0</v>
      </c>
      <c r="J184" s="31">
        <f>RDG!I66</f>
        <v>-185200</v>
      </c>
      <c r="K184" s="31">
        <f>RDG!J66</f>
        <v>2046</v>
      </c>
    </row>
    <row r="185" spans="4:11" ht="12.75">
      <c r="D185" s="4" t="s">
        <v>541</v>
      </c>
      <c r="E185" s="4">
        <v>2</v>
      </c>
      <c r="F185" s="4">
        <f>RDG!G67</f>
        <v>184</v>
      </c>
      <c r="G185" s="4">
        <f>IF(RDG!H67=0,"",RDG!H67)</f>
      </c>
      <c r="H185" s="30">
        <f t="shared" si="6"/>
        <v>7529.280000000001</v>
      </c>
      <c r="I185" s="4">
        <f t="shared" si="7"/>
        <v>0</v>
      </c>
      <c r="J185" s="31">
        <f>RDG!I67</f>
        <v>0</v>
      </c>
      <c r="K185" s="31">
        <f>RDG!J67</f>
        <v>2046</v>
      </c>
    </row>
    <row r="186" spans="4:11" ht="12.75">
      <c r="D186" s="4" t="s">
        <v>541</v>
      </c>
      <c r="E186" s="4">
        <v>2</v>
      </c>
      <c r="F186" s="4">
        <f>RDG!G68</f>
        <v>185</v>
      </c>
      <c r="G186" s="4">
        <f>IF(RDG!H68=0,"",RDG!H68)</f>
      </c>
      <c r="H186" s="30">
        <f t="shared" si="6"/>
        <v>342620</v>
      </c>
      <c r="I186" s="4">
        <f t="shared" si="7"/>
        <v>0</v>
      </c>
      <c r="J186" s="31">
        <f>RDG!I68</f>
        <v>185200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3" activePane="bottomLeft" state="frozen"/>
      <selection pane="topLeft" activeCell="A2" sqref="A2"/>
      <selection pane="bottomLeft" activeCell="C46" sqref="C46:J4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ALBANEŽ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52100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1</v>
      </c>
      <c r="L4" s="3"/>
      <c r="M4" s="3"/>
      <c r="N4" s="208" t="s">
        <v>1522</v>
      </c>
      <c r="O4" s="211">
        <f>Dodatni!Q1</f>
        <v>0</v>
      </c>
      <c r="P4" s="212">
        <f>Dodatni!Q2</f>
        <v>0</v>
      </c>
      <c r="Q4" s="232">
        <f>Dodatni!Q3</f>
        <v>0</v>
      </c>
      <c r="R4" s="211" t="s">
        <v>1199</v>
      </c>
      <c r="S4" s="232">
        <f>IF(RefStr!C52&lt;&gt;"",IF(ISERROR(INT(RefStr!C52)),0,RefStr!C52),0)</f>
        <v>11</v>
      </c>
      <c r="T4" s="211" t="s">
        <v>2718</v>
      </c>
      <c r="U4" s="232" t="str">
        <f>RefStr!C27</f>
        <v>18426902929</v>
      </c>
      <c r="V4" s="211" t="s">
        <v>2356</v>
      </c>
      <c r="W4" s="232" t="str">
        <f>RefStr!F31</f>
        <v>PULA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01100556</v>
      </c>
      <c r="V5" s="211" t="s">
        <v>2357</v>
      </c>
      <c r="W5" s="232" t="str">
        <f>RefStr!C33</f>
        <v>POMER 1, POMER</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040095616</v>
      </c>
      <c r="V6" s="211" t="s">
        <v>2568</v>
      </c>
      <c r="W6" s="232" t="str">
        <f>RefStr!L35</f>
        <v>052573136</v>
      </c>
      <c r="X6" s="211" t="s">
        <v>2514</v>
      </c>
      <c r="Y6" s="232" t="str">
        <f>RefStr!C68</f>
        <v>Samanta Radman Rojnić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REKLAMACIJE@ALBANEZ.HR</v>
      </c>
      <c r="X7" s="211" t="s">
        <v>2515</v>
      </c>
      <c r="Y7" s="232" t="str">
        <f>RefStr!C70</f>
        <v>052573136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3700</v>
      </c>
      <c r="X8" s="211" t="s">
        <v>2516</v>
      </c>
      <c r="Y8" s="232" t="str">
        <f>TRIM(UPPER(RefStr!C72))</f>
        <v>SAMANTA.ROJNIC@MEDEKOSERVIS.HR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10</v>
      </c>
      <c r="Q9" s="231">
        <f>RefStr!F58</f>
        <v>10</v>
      </c>
      <c r="R9" s="211" t="s">
        <v>1860</v>
      </c>
      <c r="S9" s="232">
        <f>IF(RefStr!F4&lt;&gt;"",RefStr!F4,0)</f>
        <v>43465</v>
      </c>
      <c r="T9" s="211" t="s">
        <v>1821</v>
      </c>
      <c r="U9" s="232">
        <f>RefStr!C39</f>
        <v>263</v>
      </c>
      <c r="V9" s="211" t="s">
        <v>1414</v>
      </c>
      <c r="W9" s="232" t="str">
        <f>RefStr!D42</f>
        <v>Uklanjanje otpadnih voda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10</v>
      </c>
      <c r="Q10" s="233">
        <f>RefStr!F56</f>
        <v>10</v>
      </c>
      <c r="R10" s="213" t="s">
        <v>1863</v>
      </c>
      <c r="S10" s="233">
        <f>RefStr!C23</f>
        <v>1</v>
      </c>
      <c r="T10" s="213" t="s">
        <v>2573</v>
      </c>
      <c r="U10" s="233" t="str">
        <f>RefStr!D39</f>
        <v>Medulin</v>
      </c>
      <c r="V10" s="240"/>
      <c r="W10" s="241"/>
      <c r="X10" s="242" t="s">
        <v>1974</v>
      </c>
      <c r="Y10" s="243">
        <f>RefStr!F12</f>
        <v>2018</v>
      </c>
      <c r="Z10" s="213" t="s">
        <v>209</v>
      </c>
      <c r="AA10" s="233" t="str">
        <f>RefStr!A75</f>
        <v>EDO KRAJCAR mag.oec.</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0</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0</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Pogreška</v>
      </c>
      <c r="C118" s="487" t="s">
        <v>0</v>
      </c>
      <c r="D118" s="487"/>
      <c r="E118" s="487"/>
      <c r="F118" s="487"/>
      <c r="G118" s="487"/>
      <c r="H118" s="487"/>
      <c r="I118" s="487"/>
      <c r="J118" s="487"/>
      <c r="L118" s="200">
        <f>MAX(N118:N118)</f>
        <v>1</v>
      </c>
      <c r="M118" s="200"/>
      <c r="N118" s="200">
        <f>IF(ISERROR(P118),0,1)</f>
        <v>1</v>
      </c>
      <c r="O118" s="195" t="str">
        <f ca="1">CELL("filename")</f>
        <v>Y:\2. ALBANEŽ\GODIŠNJI OBRAČUN ZA 2018\GFI za javnu objavu\[ODGOĐENI PRIHODI po izvorima fin..xlsx]PRIHOD BUDUĆEG RAZDOBLJA</v>
      </c>
      <c r="P118" s="195">
        <f>FIND(".XLSX",UPPER(O118),1)</f>
        <v>94</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110055.6</v>
      </c>
    </row>
    <row r="13" spans="4:17" ht="9.75" customHeight="1">
      <c r="D13" s="156"/>
      <c r="E13" s="162"/>
      <c r="H13" s="27"/>
      <c r="I13" s="163"/>
      <c r="J13" s="163"/>
      <c r="K13" s="156"/>
      <c r="L13" s="156"/>
      <c r="M13" s="156"/>
      <c r="N13" s="156"/>
      <c r="P13" s="54" t="s">
        <v>2353</v>
      </c>
      <c r="Q13" s="55">
        <f>INT(VALUE(M27))/50</f>
        <v>801912.32</v>
      </c>
    </row>
    <row r="14" spans="1:17" ht="15">
      <c r="A14" s="340" t="s">
        <v>2714</v>
      </c>
      <c r="B14" s="340"/>
      <c r="C14" s="340"/>
      <c r="D14" s="164"/>
      <c r="E14" s="165"/>
      <c r="F14" s="338"/>
      <c r="G14" s="339"/>
      <c r="H14" s="339"/>
      <c r="I14" s="156"/>
      <c r="J14" s="346" t="s">
        <v>2100</v>
      </c>
      <c r="K14" s="347"/>
      <c r="L14" s="347"/>
      <c r="M14" s="347"/>
      <c r="N14" s="347"/>
      <c r="P14" s="54" t="s">
        <v>2718</v>
      </c>
      <c r="Q14" s="55">
        <f>INT(VALUE(C27))/100</f>
        <v>184269029.29</v>
      </c>
    </row>
    <row r="15" spans="1:17" ht="19.5" customHeight="1">
      <c r="A15" s="343">
        <f>Skriveni!B59</f>
        <v>1791749621.5999994</v>
      </c>
      <c r="B15" s="344"/>
      <c r="C15" s="345"/>
      <c r="D15" s="60"/>
      <c r="E15" s="60"/>
      <c r="F15" s="60"/>
      <c r="G15" s="60"/>
      <c r="H15" s="60"/>
      <c r="I15" s="60"/>
      <c r="J15" s="60"/>
      <c r="K15" s="60"/>
      <c r="L15" s="60"/>
      <c r="M15" s="60"/>
      <c r="N15" s="60"/>
      <c r="P15" s="54" t="s">
        <v>1817</v>
      </c>
      <c r="Q15" s="55">
        <f>LEN(Skriveni!B9)</f>
        <v>11</v>
      </c>
    </row>
    <row r="16" spans="4:17" ht="12.75" customHeight="1">
      <c r="D16" s="60"/>
      <c r="E16" s="60"/>
      <c r="F16" s="60"/>
      <c r="G16" s="60"/>
      <c r="H16" s="60"/>
      <c r="I16" s="60"/>
      <c r="P16" s="54" t="s">
        <v>1818</v>
      </c>
      <c r="Q16" s="55">
        <f>INT(VALUE(C31))/100</f>
        <v>521</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4</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14</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263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3700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2956</v>
      </c>
      <c r="D27" s="378"/>
      <c r="E27" s="286"/>
      <c r="F27" s="290" t="s">
        <v>2406</v>
      </c>
      <c r="G27" s="322"/>
      <c r="H27" s="284" t="s">
        <v>2957</v>
      </c>
      <c r="I27" s="289"/>
      <c r="J27" s="290" t="s">
        <v>2099</v>
      </c>
      <c r="K27" s="291"/>
      <c r="L27" s="292"/>
      <c r="M27" s="284" t="s">
        <v>2958</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2959</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52100</v>
      </c>
      <c r="D31" s="329" t="s">
        <v>693</v>
      </c>
      <c r="E31" s="330"/>
      <c r="F31" s="323" t="s">
        <v>2963</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2960</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2964</v>
      </c>
      <c r="D35" s="334"/>
      <c r="E35" s="334"/>
      <c r="F35" s="334"/>
      <c r="G35" s="334"/>
      <c r="H35" s="334"/>
      <c r="I35" s="335"/>
      <c r="J35" s="275" t="s">
        <v>188</v>
      </c>
      <c r="K35" s="278"/>
      <c r="L35" s="284" t="s">
        <v>2954</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263</v>
      </c>
      <c r="D39" s="326" t="str">
        <f>IF(C39="","Šifra grada/općine nije upisana",IF(ISNA(LOOKUP(C39,A177:A732,A177:A732)),"Šifra grada/općine ne postoji",IF(LOOKUP(C39,A177:A732,A177:A732)&lt;&gt;C39,"Šifra grada/općine ne postoji",LOOKUP(C39,A177:A732,B177:B732))))</f>
        <v>Medulin</v>
      </c>
      <c r="E39" s="327"/>
      <c r="F39" s="327"/>
      <c r="G39" s="327"/>
      <c r="H39" s="314" t="s">
        <v>2222</v>
      </c>
      <c r="I39" s="292"/>
      <c r="J39" s="58">
        <f>IF(C39&gt;0,LOOKUP(C39,A177:A732,C177:C732),"")</f>
        <v>18</v>
      </c>
      <c r="K39" s="315" t="str">
        <f>IF(J39="","Treba prvo upisati šifru grada/općine",LOOKUP(J39,A153:A173,B153:B173))</f>
        <v>ISTARSKA</v>
      </c>
      <c r="L39" s="315"/>
      <c r="M39" s="315"/>
      <c r="N39" s="315"/>
      <c r="P39" s="54" t="s">
        <v>1826</v>
      </c>
      <c r="Q39" s="55">
        <f>C56+2*F56+3*C58+4*F58</f>
        <v>100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2047</v>
      </c>
      <c r="D42" s="317" t="str">
        <f>IF(C42="","Šifra NKD-a nije upisana",IF(ISNA(LOOKUP(C42,A736:A1351,A736:A1351)),"Šifra NKD-a ne postoji",IF(LOOKUP(C42,A736:A1351,A736:A1351)&lt;&gt;C42,"Šifra NKD-a ne postoji",LOOKUP(C42,A736:A1351,B736:B1351))))</f>
        <v>Uklanjanje otpadnih voda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20</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10</v>
      </c>
      <c r="D56" s="272" t="s">
        <v>2898</v>
      </c>
      <c r="E56" s="273"/>
      <c r="F56" s="44">
        <v>10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10</v>
      </c>
      <c r="D58" s="309" t="s">
        <v>2898</v>
      </c>
      <c r="E58" s="309"/>
      <c r="F58" s="44">
        <v>10</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2955</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2954</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3" activePane="bottomLeft" state="frozen"/>
      <selection pane="topLeft" activeCell="A1" sqref="A1"/>
      <selection pane="bottomLeft" activeCell="J121" sqref="J12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18426902929; ALBANEŽ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119968328</v>
      </c>
      <c r="J10" s="70">
        <f>J11+J18+J28+J39+J44</f>
        <v>124162042</v>
      </c>
    </row>
    <row r="11" spans="1:10" ht="13.5" customHeight="1">
      <c r="A11" s="382" t="s">
        <v>1850</v>
      </c>
      <c r="B11" s="382"/>
      <c r="C11" s="382"/>
      <c r="D11" s="382"/>
      <c r="E11" s="382"/>
      <c r="F11" s="382"/>
      <c r="G11" s="19">
        <v>3</v>
      </c>
      <c r="H11" s="20"/>
      <c r="I11" s="70">
        <f>SUM(I12:I17)</f>
        <v>1435557</v>
      </c>
      <c r="J11" s="70">
        <f>SUM(J12:J17)</f>
        <v>1647715</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1435557</v>
      </c>
      <c r="J13" s="71">
        <f>2015561-367846</f>
        <v>1647715</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116257771</v>
      </c>
      <c r="J18" s="70">
        <f>SUM(J19:J27)</f>
        <v>120939327</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112265917</v>
      </c>
      <c r="J20" s="71">
        <f>131231863-15060605</f>
        <v>116171258</v>
      </c>
    </row>
    <row r="21" spans="1:10" ht="13.5" customHeight="1">
      <c r="A21" s="381" t="s">
        <v>2177</v>
      </c>
      <c r="B21" s="381"/>
      <c r="C21" s="381"/>
      <c r="D21" s="381"/>
      <c r="E21" s="381"/>
      <c r="F21" s="381"/>
      <c r="G21" s="19">
        <v>13</v>
      </c>
      <c r="H21" s="20"/>
      <c r="I21" s="71">
        <v>42196</v>
      </c>
      <c r="J21" s="71">
        <f>109836+66783-88624-9972-40653</f>
        <v>37370</v>
      </c>
    </row>
    <row r="22" spans="1:10" ht="13.5" customHeight="1">
      <c r="A22" s="381" t="s">
        <v>2290</v>
      </c>
      <c r="B22" s="381"/>
      <c r="C22" s="381"/>
      <c r="D22" s="381"/>
      <c r="E22" s="381"/>
      <c r="F22" s="381"/>
      <c r="G22" s="19">
        <v>14</v>
      </c>
      <c r="H22" s="20"/>
      <c r="I22" s="71">
        <v>124201</v>
      </c>
      <c r="J22" s="71">
        <f>314562-46281-4452-47241-14000-694</f>
        <v>201894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3825457</v>
      </c>
      <c r="J25" s="71">
        <v>4528805</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2275000</v>
      </c>
      <c r="J39" s="70">
        <f>SUM(J40:J43)</f>
        <v>1575000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v>2275000</v>
      </c>
      <c r="J43" s="71">
        <v>1575000</v>
      </c>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7249375</v>
      </c>
      <c r="J45" s="70">
        <f>J46+J54+J61+J71</f>
        <v>5709989</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4107248</v>
      </c>
      <c r="J54" s="70">
        <f>SUM(J55:J60)</f>
        <v>1455676</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416083</v>
      </c>
      <c r="J57" s="71">
        <f>559574</f>
        <v>559574</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154419</v>
      </c>
      <c r="J59" s="71">
        <f>128631+9138</f>
        <v>137769</v>
      </c>
    </row>
    <row r="60" spans="1:10" ht="13.5" customHeight="1">
      <c r="A60" s="381" t="s">
        <v>2638</v>
      </c>
      <c r="B60" s="381"/>
      <c r="C60" s="381"/>
      <c r="D60" s="381"/>
      <c r="E60" s="381"/>
      <c r="F60" s="381"/>
      <c r="G60" s="19">
        <v>52</v>
      </c>
      <c r="H60" s="20"/>
      <c r="I60" s="71">
        <v>3536746</v>
      </c>
      <c r="J60" s="71">
        <v>758333</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3142127</v>
      </c>
      <c r="J71" s="71">
        <v>4254313</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127217703</v>
      </c>
      <c r="J73" s="70">
        <f>J9+J10+J45+J72</f>
        <v>129872031</v>
      </c>
    </row>
    <row r="74" spans="1:10" ht="13.5" customHeight="1">
      <c r="A74" s="384" t="s">
        <v>257</v>
      </c>
      <c r="B74" s="384"/>
      <c r="C74" s="384"/>
      <c r="D74" s="384"/>
      <c r="E74" s="384"/>
      <c r="F74" s="384"/>
      <c r="G74" s="21">
        <v>66</v>
      </c>
      <c r="H74" s="22"/>
      <c r="I74" s="72">
        <v>3511444</v>
      </c>
      <c r="J74" s="72">
        <v>3504396</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39994</v>
      </c>
      <c r="J76" s="70">
        <f>J77+J78+J79+J85+J86+J90+J93+J96</f>
        <v>42040</v>
      </c>
      <c r="L76" s="2" t="s">
        <v>2591</v>
      </c>
    </row>
    <row r="77" spans="1:10" ht="13.5" customHeight="1">
      <c r="A77" s="382" t="s">
        <v>935</v>
      </c>
      <c r="B77" s="382"/>
      <c r="C77" s="382"/>
      <c r="D77" s="382"/>
      <c r="E77" s="382"/>
      <c r="F77" s="382"/>
      <c r="G77" s="19">
        <v>68</v>
      </c>
      <c r="H77" s="20"/>
      <c r="I77" s="71">
        <v>3406000</v>
      </c>
      <c r="J77" s="71">
        <v>3406000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-3180806</v>
      </c>
      <c r="J90" s="70">
        <f>J91-J92</f>
        <v>-3366006</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v>3180806</v>
      </c>
      <c r="J92" s="71">
        <f>3180806+185200</f>
        <v>3366006</v>
      </c>
    </row>
    <row r="93" spans="1:12" ht="13.5" customHeight="1">
      <c r="A93" s="382" t="s">
        <v>2653</v>
      </c>
      <c r="B93" s="382"/>
      <c r="C93" s="382"/>
      <c r="D93" s="382"/>
      <c r="E93" s="382"/>
      <c r="F93" s="382"/>
      <c r="G93" s="19">
        <v>84</v>
      </c>
      <c r="H93" s="20"/>
      <c r="I93" s="70">
        <f>I94-I95</f>
        <v>-185200</v>
      </c>
      <c r="J93" s="70">
        <f>J94-J95</f>
        <v>2046</v>
      </c>
      <c r="L93" s="2" t="s">
        <v>2591</v>
      </c>
    </row>
    <row r="94" spans="1:10" ht="13.5" customHeight="1">
      <c r="A94" s="381" t="s">
        <v>2640</v>
      </c>
      <c r="B94" s="381"/>
      <c r="C94" s="381"/>
      <c r="D94" s="381"/>
      <c r="E94" s="381"/>
      <c r="F94" s="381"/>
      <c r="G94" s="19">
        <v>85</v>
      </c>
      <c r="H94" s="20"/>
      <c r="I94" s="71"/>
      <c r="J94" s="71">
        <v>2046</v>
      </c>
    </row>
    <row r="95" spans="1:10" ht="13.5" customHeight="1">
      <c r="A95" s="381" t="s">
        <v>1141</v>
      </c>
      <c r="B95" s="381"/>
      <c r="C95" s="381"/>
      <c r="D95" s="381"/>
      <c r="E95" s="381"/>
      <c r="F95" s="381"/>
      <c r="G95" s="19">
        <v>86</v>
      </c>
      <c r="H95" s="20"/>
      <c r="I95" s="71">
        <v>185200</v>
      </c>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276505</v>
      </c>
      <c r="J97" s="70">
        <f>SUM(J98:J103)</f>
        <v>366505</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v>260000</v>
      </c>
      <c r="J100" s="71">
        <v>350000</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v>16505</v>
      </c>
      <c r="J103" s="71">
        <v>16505</v>
      </c>
    </row>
    <row r="104" spans="1:10" ht="13.5" customHeight="1">
      <c r="A104" s="383" t="s">
        <v>2655</v>
      </c>
      <c r="B104" s="383"/>
      <c r="C104" s="383"/>
      <c r="D104" s="383"/>
      <c r="E104" s="383"/>
      <c r="F104" s="383"/>
      <c r="G104" s="19">
        <v>95</v>
      </c>
      <c r="H104" s="20"/>
      <c r="I104" s="70">
        <f>SUM(I105:I115)</f>
        <v>15396279</v>
      </c>
      <c r="J104" s="70">
        <f>SUM(J105:J115)</f>
        <v>12411108</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v>13081729</v>
      </c>
      <c r="J109" s="71">
        <v>10753585</v>
      </c>
    </row>
    <row r="110" spans="1:10" ht="13.5" customHeight="1">
      <c r="A110" s="381" t="s">
        <v>362</v>
      </c>
      <c r="B110" s="381"/>
      <c r="C110" s="381"/>
      <c r="D110" s="381"/>
      <c r="E110" s="381"/>
      <c r="F110" s="381"/>
      <c r="G110" s="19">
        <v>101</v>
      </c>
      <c r="H110" s="20"/>
      <c r="I110" s="71">
        <v>2275000</v>
      </c>
      <c r="J110" s="71">
        <f>2275000-700000+100000-17477</f>
        <v>1657523</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v>39550</v>
      </c>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7471708</v>
      </c>
      <c r="J116" s="70">
        <f>SUM(J117:J130)</f>
        <v>4915243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v>2236806</v>
      </c>
      <c r="J121" s="71">
        <v>2236806</v>
      </c>
    </row>
    <row r="122" spans="1:10" ht="13.5" customHeight="1">
      <c r="A122" s="381" t="s">
        <v>362</v>
      </c>
      <c r="B122" s="381"/>
      <c r="C122" s="381"/>
      <c r="D122" s="381"/>
      <c r="E122" s="381"/>
      <c r="F122" s="381"/>
      <c r="G122" s="19">
        <v>113</v>
      </c>
      <c r="H122" s="20"/>
      <c r="I122" s="71">
        <v>1508333</v>
      </c>
      <c r="J122" s="71">
        <f>700000+17477</f>
        <v>717477</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3579752</v>
      </c>
      <c r="J124" s="71">
        <v>1658637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72712</v>
      </c>
      <c r="J126" s="71">
        <v>215717</v>
      </c>
    </row>
    <row r="127" spans="1:10" ht="13.5" customHeight="1">
      <c r="A127" s="381" t="s">
        <v>364</v>
      </c>
      <c r="B127" s="381"/>
      <c r="C127" s="381"/>
      <c r="D127" s="381"/>
      <c r="E127" s="381"/>
      <c r="F127" s="381"/>
      <c r="G127" s="19">
        <v>118</v>
      </c>
      <c r="H127" s="20"/>
      <c r="I127" s="71">
        <v>57760</v>
      </c>
      <c r="J127" s="71">
        <f>12563+49015+15176</f>
        <v>76754</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16345</v>
      </c>
      <c r="J130" s="71">
        <f>8590+1262</f>
        <v>9852</v>
      </c>
    </row>
    <row r="131" spans="1:10" ht="24.75" customHeight="1">
      <c r="A131" s="383" t="s">
        <v>1560</v>
      </c>
      <c r="B131" s="383"/>
      <c r="C131" s="383"/>
      <c r="D131" s="383"/>
      <c r="E131" s="383"/>
      <c r="F131" s="383"/>
      <c r="G131" s="19">
        <v>122</v>
      </c>
      <c r="H131" s="20"/>
      <c r="I131" s="71">
        <v>104033217</v>
      </c>
      <c r="J131" s="71">
        <v>112137135</v>
      </c>
    </row>
    <row r="132" spans="1:10" ht="13.5" customHeight="1">
      <c r="A132" s="383" t="s">
        <v>2657</v>
      </c>
      <c r="B132" s="383"/>
      <c r="C132" s="383"/>
      <c r="D132" s="383"/>
      <c r="E132" s="383"/>
      <c r="F132" s="383"/>
      <c r="G132" s="19">
        <v>123</v>
      </c>
      <c r="H132" s="20"/>
      <c r="I132" s="70">
        <f>I76+I97+I104+I116+I131</f>
        <v>127217703</v>
      </c>
      <c r="J132" s="70">
        <f>J76+J97+J104+J116+J131</f>
        <v>129872031</v>
      </c>
    </row>
    <row r="133" spans="1:10" ht="13.5" customHeight="1">
      <c r="A133" s="384" t="s">
        <v>662</v>
      </c>
      <c r="B133" s="384"/>
      <c r="C133" s="384"/>
      <c r="D133" s="384"/>
      <c r="E133" s="384"/>
      <c r="F133" s="384"/>
      <c r="G133" s="21">
        <v>124</v>
      </c>
      <c r="H133" s="22"/>
      <c r="I133" s="72">
        <v>3511444</v>
      </c>
      <c r="J133" s="72">
        <v>3504396</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J33" sqref="J3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18426902929; ALBANEŽ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7232664</v>
      </c>
      <c r="J8" s="84">
        <f>SUM(J9:J13)</f>
        <v>7992438</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4062304</v>
      </c>
      <c r="J10" s="71">
        <v>4468730</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3170360</v>
      </c>
      <c r="J13" s="71">
        <v>3523708</v>
      </c>
    </row>
    <row r="14" spans="1:10" s="2" customFormat="1" ht="13.5" customHeight="1">
      <c r="A14" s="383" t="s">
        <v>1837</v>
      </c>
      <c r="B14" s="383"/>
      <c r="C14" s="383"/>
      <c r="D14" s="383"/>
      <c r="E14" s="383"/>
      <c r="F14" s="383"/>
      <c r="G14" s="19">
        <v>131</v>
      </c>
      <c r="H14" s="20"/>
      <c r="I14" s="70">
        <f>I15+I16+I20+I24+I25+I26+I29+I36</f>
        <v>7208166</v>
      </c>
      <c r="J14" s="70">
        <f>J15+J16+J20+J24+J25+J26+J29+J36</f>
        <v>7832895</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2454234</v>
      </c>
      <c r="J16" s="70">
        <f>SUM(J17:J19)</f>
        <v>2440378</v>
      </c>
    </row>
    <row r="17" spans="1:10" s="2" customFormat="1" ht="13.5" customHeight="1">
      <c r="A17" s="410" t="s">
        <v>504</v>
      </c>
      <c r="B17" s="410"/>
      <c r="C17" s="410"/>
      <c r="D17" s="410"/>
      <c r="E17" s="410"/>
      <c r="F17" s="410"/>
      <c r="G17" s="19">
        <v>134</v>
      </c>
      <c r="H17" s="20"/>
      <c r="I17" s="71">
        <v>481844</v>
      </c>
      <c r="J17" s="71">
        <v>536023</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1972390</v>
      </c>
      <c r="J19" s="71">
        <v>1904355</v>
      </c>
    </row>
    <row r="20" spans="1:10" s="2" customFormat="1" ht="13.5" customHeight="1">
      <c r="A20" s="381" t="s">
        <v>1839</v>
      </c>
      <c r="B20" s="381"/>
      <c r="C20" s="381"/>
      <c r="D20" s="381"/>
      <c r="E20" s="381"/>
      <c r="F20" s="381"/>
      <c r="G20" s="19">
        <v>137</v>
      </c>
      <c r="H20" s="20"/>
      <c r="I20" s="70">
        <f>SUM(I21:I23)</f>
        <v>1334079</v>
      </c>
      <c r="J20" s="70">
        <f>SUM(J21:J23)</f>
        <v>1460187</v>
      </c>
    </row>
    <row r="21" spans="1:10" s="2" customFormat="1" ht="13.5" customHeight="1">
      <c r="A21" s="410" t="s">
        <v>724</v>
      </c>
      <c r="B21" s="410"/>
      <c r="C21" s="410"/>
      <c r="D21" s="410"/>
      <c r="E21" s="410"/>
      <c r="F21" s="410"/>
      <c r="G21" s="19">
        <v>138</v>
      </c>
      <c r="H21" s="20"/>
      <c r="I21" s="71">
        <v>824047</v>
      </c>
      <c r="J21" s="71">
        <v>896416</v>
      </c>
    </row>
    <row r="22" spans="1:10" s="2" customFormat="1" ht="13.5" customHeight="1">
      <c r="A22" s="410" t="s">
        <v>961</v>
      </c>
      <c r="B22" s="410"/>
      <c r="C22" s="410"/>
      <c r="D22" s="410"/>
      <c r="E22" s="410"/>
      <c r="F22" s="410"/>
      <c r="G22" s="19">
        <v>139</v>
      </c>
      <c r="H22" s="20"/>
      <c r="I22" s="71">
        <v>314246</v>
      </c>
      <c r="J22" s="71">
        <v>349477</v>
      </c>
    </row>
    <row r="23" spans="1:10" s="2" customFormat="1" ht="13.5" customHeight="1">
      <c r="A23" s="410" t="s">
        <v>962</v>
      </c>
      <c r="B23" s="410"/>
      <c r="C23" s="410"/>
      <c r="D23" s="410"/>
      <c r="E23" s="410"/>
      <c r="F23" s="410"/>
      <c r="G23" s="19">
        <v>140</v>
      </c>
      <c r="H23" s="20"/>
      <c r="I23" s="71">
        <v>195786</v>
      </c>
      <c r="J23" s="71">
        <v>214294</v>
      </c>
    </row>
    <row r="24" spans="1:10" s="2" customFormat="1" ht="13.5" customHeight="1">
      <c r="A24" s="381" t="s">
        <v>259</v>
      </c>
      <c r="B24" s="381"/>
      <c r="C24" s="381"/>
      <c r="D24" s="381"/>
      <c r="E24" s="381"/>
      <c r="F24" s="381"/>
      <c r="G24" s="19">
        <v>141</v>
      </c>
      <c r="H24" s="20"/>
      <c r="I24" s="71">
        <v>3060571</v>
      </c>
      <c r="J24" s="71">
        <v>3234934</v>
      </c>
    </row>
    <row r="25" spans="1:10" s="2" customFormat="1" ht="13.5" customHeight="1">
      <c r="A25" s="381" t="s">
        <v>260</v>
      </c>
      <c r="B25" s="381"/>
      <c r="C25" s="381"/>
      <c r="D25" s="381"/>
      <c r="E25" s="381"/>
      <c r="F25" s="381"/>
      <c r="G25" s="19">
        <v>142</v>
      </c>
      <c r="H25" s="20"/>
      <c r="I25" s="71">
        <v>337222</v>
      </c>
      <c r="J25" s="71">
        <v>559923</v>
      </c>
    </row>
    <row r="26" spans="1:12" s="2" customFormat="1" ht="13.5" customHeight="1">
      <c r="A26" s="381" t="s">
        <v>1840</v>
      </c>
      <c r="B26" s="381"/>
      <c r="C26" s="381"/>
      <c r="D26" s="381"/>
      <c r="E26" s="381"/>
      <c r="F26" s="381"/>
      <c r="G26" s="19">
        <v>143</v>
      </c>
      <c r="H26" s="20"/>
      <c r="I26" s="70">
        <f>SUM(I27:I28)</f>
        <v>3983</v>
      </c>
      <c r="J26" s="70">
        <f>SUM(J27:J28)</f>
        <v>4628</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3983</v>
      </c>
      <c r="J28" s="71">
        <v>4628</v>
      </c>
      <c r="L28" s="2" t="s">
        <v>2591</v>
      </c>
    </row>
    <row r="29" spans="1:12" s="2" customFormat="1" ht="13.5" customHeight="1">
      <c r="A29" s="381" t="s">
        <v>1841</v>
      </c>
      <c r="B29" s="381"/>
      <c r="C29" s="381"/>
      <c r="D29" s="381"/>
      <c r="E29" s="381"/>
      <c r="F29" s="381"/>
      <c r="G29" s="19">
        <v>146</v>
      </c>
      <c r="H29" s="20"/>
      <c r="I29" s="70">
        <f>SUM(I30:I35)</f>
        <v>0</v>
      </c>
      <c r="J29" s="70">
        <f>SUM(J30:J35)</f>
        <v>90000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v>90000</v>
      </c>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18077</v>
      </c>
      <c r="J36" s="71">
        <v>42845</v>
      </c>
    </row>
    <row r="37" spans="1:10" s="2" customFormat="1" ht="13.5" customHeight="1">
      <c r="A37" s="383" t="s">
        <v>1842</v>
      </c>
      <c r="B37" s="383"/>
      <c r="C37" s="383"/>
      <c r="D37" s="383"/>
      <c r="E37" s="383"/>
      <c r="F37" s="383"/>
      <c r="G37" s="19">
        <v>154</v>
      </c>
      <c r="H37" s="20"/>
      <c r="I37" s="70">
        <f>SUM(I38:I47)</f>
        <v>2150</v>
      </c>
      <c r="J37" s="70">
        <f>SUM(J38:J47)</f>
        <v>853</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2150</v>
      </c>
      <c r="J44" s="71">
        <v>853</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211848</v>
      </c>
      <c r="J48" s="70">
        <f>SUM(J49:J55)</f>
        <v>158350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211848</v>
      </c>
      <c r="J51" s="71">
        <v>158350</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7234814</v>
      </c>
      <c r="J60" s="70">
        <f>J8+J37+J56+J57</f>
        <v>7993291</v>
      </c>
    </row>
    <row r="61" spans="1:10" s="2" customFormat="1" ht="13.5" customHeight="1">
      <c r="A61" s="383" t="s">
        <v>1845</v>
      </c>
      <c r="B61" s="383"/>
      <c r="C61" s="383"/>
      <c r="D61" s="383"/>
      <c r="E61" s="383"/>
      <c r="F61" s="383"/>
      <c r="G61" s="19">
        <v>178</v>
      </c>
      <c r="H61" s="20"/>
      <c r="I61" s="70">
        <f>I14+I48+I58+I59</f>
        <v>7420014</v>
      </c>
      <c r="J61" s="70">
        <f>J14+J48+J58+J59</f>
        <v>7991245</v>
      </c>
    </row>
    <row r="62" spans="1:12" s="2" customFormat="1" ht="13.5" customHeight="1">
      <c r="A62" s="383" t="s">
        <v>2581</v>
      </c>
      <c r="B62" s="383"/>
      <c r="C62" s="383"/>
      <c r="D62" s="383"/>
      <c r="E62" s="383"/>
      <c r="F62" s="383"/>
      <c r="G62" s="19">
        <v>179</v>
      </c>
      <c r="H62" s="20"/>
      <c r="I62" s="70">
        <f>I60-I61</f>
        <v>-185200</v>
      </c>
      <c r="J62" s="70">
        <f>J60-J61</f>
        <v>2046</v>
      </c>
      <c r="L62" s="2" t="s">
        <v>2591</v>
      </c>
    </row>
    <row r="63" spans="1:10" s="2" customFormat="1" ht="13.5" customHeight="1">
      <c r="A63" s="404" t="s">
        <v>2658</v>
      </c>
      <c r="B63" s="404"/>
      <c r="C63" s="404"/>
      <c r="D63" s="404"/>
      <c r="E63" s="404"/>
      <c r="F63" s="404"/>
      <c r="G63" s="19">
        <v>180</v>
      </c>
      <c r="H63" s="20"/>
      <c r="I63" s="70">
        <f>IF(I60&gt;I61,I60-I61,0)</f>
        <v>0</v>
      </c>
      <c r="J63" s="70">
        <f>IF(J60&gt;J61,J60-J61,0)</f>
        <v>2046</v>
      </c>
    </row>
    <row r="64" spans="1:10" s="2" customFormat="1" ht="13.5" customHeight="1">
      <c r="A64" s="404" t="s">
        <v>778</v>
      </c>
      <c r="B64" s="404"/>
      <c r="C64" s="404"/>
      <c r="D64" s="404"/>
      <c r="E64" s="404"/>
      <c r="F64" s="404"/>
      <c r="G64" s="19">
        <v>181</v>
      </c>
      <c r="H64" s="20"/>
      <c r="I64" s="70">
        <f>IF(I61&gt;I60,I61-I60,0)</f>
        <v>185200</v>
      </c>
      <c r="J64" s="70">
        <f>IF(J61&gt;J60,J61-J60,0)</f>
        <v>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-185200</v>
      </c>
      <c r="J66" s="70">
        <f>J62-J65</f>
        <v>2046</v>
      </c>
      <c r="L66" s="2" t="s">
        <v>2591</v>
      </c>
    </row>
    <row r="67" spans="1:10" s="2" customFormat="1" ht="13.5" customHeight="1">
      <c r="A67" s="404" t="s">
        <v>779</v>
      </c>
      <c r="B67" s="404"/>
      <c r="C67" s="404"/>
      <c r="D67" s="404"/>
      <c r="E67" s="404"/>
      <c r="F67" s="404"/>
      <c r="G67" s="19">
        <v>184</v>
      </c>
      <c r="H67" s="20"/>
      <c r="I67" s="70">
        <f>IF(I66&gt;0,I66,0)</f>
        <v>0</v>
      </c>
      <c r="J67" s="70">
        <f>IF(J66&gt;0,J66,0)</f>
        <v>2046</v>
      </c>
    </row>
    <row r="68" spans="1:10" s="2" customFormat="1" ht="13.5" customHeight="1">
      <c r="A68" s="421" t="s">
        <v>1472</v>
      </c>
      <c r="B68" s="421"/>
      <c r="C68" s="421"/>
      <c r="D68" s="421"/>
      <c r="E68" s="421"/>
      <c r="F68" s="421"/>
      <c r="G68" s="21">
        <v>185</v>
      </c>
      <c r="H68" s="22"/>
      <c r="I68" s="85">
        <f>IF(I66&lt;0,-I66,0)</f>
        <v>185200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I79" sqref="I79: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18426902929; ALBANEŽ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18426902929; ALBANEŽ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18426902929; ALBANEŽ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18426902929; ALBANEŽ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Samanta Rojnić</cp:lastModifiedBy>
  <cp:lastPrinted>2019-06-05T07:28:56Z</cp:lastPrinted>
  <dcterms:created xsi:type="dcterms:W3CDTF">2008-10-17T11:51:54Z</dcterms:created>
  <dcterms:modified xsi:type="dcterms:W3CDTF">2019-06-05T11:52:26Z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