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ena\Desktop\Plan gradnje 2023-2026\"/>
    </mc:Choice>
  </mc:AlternateContent>
  <xr:revisionPtr revIDLastSave="0" documentId="13_ncr:1_{9FC1C860-0F40-4780-8257-973F2D820B4A}" xr6:coauthVersionLast="47" xr6:coauthVersionMax="47" xr10:uidLastSave="{00000000-0000-0000-0000-000000000000}"/>
  <bookViews>
    <workbookView xWindow="-120" yWindow="-120" windowWidth="29040" windowHeight="15840" xr2:uid="{4FF9576D-6E89-43D0-BA3F-873BE10E9425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P8" i="1"/>
  <c r="O8" i="1"/>
  <c r="N8" i="1"/>
  <c r="C49" i="1"/>
  <c r="F49" i="1" s="1"/>
  <c r="C48" i="1"/>
  <c r="F48" i="1" s="1"/>
  <c r="D45" i="1"/>
  <c r="E47" i="1"/>
  <c r="E46" i="1"/>
  <c r="H46" i="1" s="1"/>
  <c r="K46" i="1" s="1"/>
  <c r="C46" i="1"/>
  <c r="C29" i="1"/>
  <c r="F29" i="1" s="1"/>
  <c r="K28" i="1"/>
  <c r="L28" i="1" s="1"/>
  <c r="G28" i="1"/>
  <c r="F28" i="1"/>
  <c r="E28" i="1"/>
  <c r="K27" i="1"/>
  <c r="L27" i="1" s="1"/>
  <c r="E27" i="1"/>
  <c r="E26" i="1"/>
  <c r="L25" i="1"/>
  <c r="K25" i="1"/>
  <c r="I25" i="1"/>
  <c r="H25" i="1"/>
  <c r="E25" i="1"/>
  <c r="D28" i="1"/>
  <c r="C35" i="1"/>
  <c r="G35" i="1" s="1"/>
  <c r="C34" i="1"/>
  <c r="G34" i="1" s="1"/>
  <c r="C33" i="1"/>
  <c r="G33" i="1" s="1"/>
  <c r="C32" i="1"/>
  <c r="G32" i="1" s="1"/>
  <c r="C31" i="1"/>
  <c r="F31" i="1" s="1"/>
  <c r="C30" i="1"/>
  <c r="G30" i="1" s="1"/>
  <c r="C28" i="1"/>
  <c r="C27" i="1"/>
  <c r="C26" i="1"/>
  <c r="H26" i="1" s="1"/>
  <c r="K26" i="1" s="1"/>
  <c r="C25" i="1"/>
  <c r="G14" i="1"/>
  <c r="F14" i="1"/>
  <c r="E14" i="1"/>
  <c r="L13" i="1"/>
  <c r="K13" i="1"/>
  <c r="H13" i="1"/>
  <c r="D13" i="1"/>
  <c r="L12" i="1"/>
  <c r="K12" i="1"/>
  <c r="H12" i="1"/>
  <c r="D12" i="1"/>
  <c r="L11" i="1"/>
  <c r="K11" i="1"/>
  <c r="H11" i="1"/>
  <c r="D11" i="1"/>
  <c r="L10" i="1"/>
  <c r="K10" i="1"/>
  <c r="H10" i="1"/>
  <c r="E10" i="1"/>
  <c r="L9" i="1"/>
  <c r="K9" i="1"/>
  <c r="H9" i="1"/>
  <c r="D9" i="1"/>
  <c r="D8" i="1" s="1"/>
  <c r="C15" i="1"/>
  <c r="F15" i="1" s="1"/>
  <c r="C13" i="1"/>
  <c r="C12" i="1"/>
  <c r="C11" i="1"/>
  <c r="C10" i="1"/>
  <c r="C9" i="1"/>
  <c r="J26" i="1" l="1"/>
  <c r="E49" i="1"/>
  <c r="E48" i="1"/>
  <c r="G48" i="1"/>
  <c r="H48" i="1" s="1"/>
  <c r="I48" i="1" s="1"/>
  <c r="G49" i="1"/>
  <c r="C24" i="1"/>
  <c r="H14" i="1"/>
  <c r="I14" i="1" s="1"/>
  <c r="G31" i="1"/>
  <c r="C45" i="1"/>
  <c r="F47" i="1"/>
  <c r="F45" i="1" s="1"/>
  <c r="E29" i="1"/>
  <c r="C8" i="1"/>
  <c r="E31" i="1"/>
  <c r="G29" i="1"/>
  <c r="F8" i="1"/>
  <c r="E15" i="1"/>
  <c r="E8" i="1" s="1"/>
  <c r="I46" i="1"/>
  <c r="L46" i="1" s="1"/>
  <c r="I26" i="1"/>
  <c r="G15" i="1"/>
  <c r="G8" i="1" s="1"/>
  <c r="H27" i="1"/>
  <c r="F30" i="1"/>
  <c r="F32" i="1"/>
  <c r="F33" i="1"/>
  <c r="F34" i="1"/>
  <c r="F35" i="1"/>
  <c r="E30" i="1"/>
  <c r="E32" i="1"/>
  <c r="E33" i="1"/>
  <c r="E34" i="1"/>
  <c r="E35" i="1"/>
  <c r="H29" i="1" l="1"/>
  <c r="H49" i="1"/>
  <c r="I49" i="1" s="1"/>
  <c r="H31" i="1"/>
  <c r="K31" i="1" s="1"/>
  <c r="E45" i="1"/>
  <c r="J14" i="1"/>
  <c r="K14" i="1"/>
  <c r="L14" i="1" s="1"/>
  <c r="H30" i="1"/>
  <c r="K30" i="1" s="1"/>
  <c r="H47" i="1"/>
  <c r="J47" i="1" s="1"/>
  <c r="K48" i="1"/>
  <c r="J48" i="1"/>
  <c r="L48" i="1" s="1"/>
  <c r="G45" i="1"/>
  <c r="K49" i="1"/>
  <c r="D24" i="1"/>
  <c r="L26" i="1"/>
  <c r="H32" i="1"/>
  <c r="I32" i="1" s="1"/>
  <c r="H35" i="1"/>
  <c r="H15" i="1"/>
  <c r="H8" i="1" s="1"/>
  <c r="H34" i="1"/>
  <c r="H33" i="1"/>
  <c r="J33" i="1" s="1"/>
  <c r="J49" i="1" l="1"/>
  <c r="L49" i="1" s="1"/>
  <c r="I30" i="1"/>
  <c r="L30" i="1" s="1"/>
  <c r="J30" i="1"/>
  <c r="J45" i="1"/>
  <c r="H45" i="1"/>
  <c r="I47" i="1"/>
  <c r="K47" i="1"/>
  <c r="K45" i="1" s="1"/>
  <c r="J34" i="1"/>
  <c r="I34" i="1"/>
  <c r="K35" i="1"/>
  <c r="J35" i="1"/>
  <c r="I35" i="1"/>
  <c r="I15" i="1"/>
  <c r="I8" i="1" s="1"/>
  <c r="K15" i="1"/>
  <c r="K8" i="1" s="1"/>
  <c r="I33" i="1"/>
  <c r="J31" i="1"/>
  <c r="J15" i="1"/>
  <c r="J8" i="1" s="1"/>
  <c r="J32" i="1"/>
  <c r="K33" i="1"/>
  <c r="I31" i="1"/>
  <c r="K32" i="1"/>
  <c r="K34" i="1"/>
  <c r="I29" i="1"/>
  <c r="K29" i="1"/>
  <c r="J29" i="1"/>
  <c r="L47" i="1" l="1"/>
  <c r="L45" i="1" s="1"/>
  <c r="I45" i="1"/>
  <c r="K24" i="1"/>
  <c r="I24" i="1"/>
  <c r="L33" i="1"/>
  <c r="J24" i="1"/>
  <c r="L31" i="1"/>
  <c r="L15" i="1"/>
  <c r="L8" i="1" s="1"/>
  <c r="L35" i="1"/>
  <c r="L32" i="1"/>
  <c r="L34" i="1"/>
  <c r="L29" i="1"/>
  <c r="L24" i="1" l="1"/>
  <c r="G24" i="1" l="1"/>
  <c r="F24" i="1"/>
  <c r="H28" i="1" l="1"/>
  <c r="H24" i="1" s="1"/>
  <c r="E24" i="1"/>
</calcChain>
</file>

<file path=xl/sharedStrings.xml><?xml version="1.0" encoding="utf-8"?>
<sst xmlns="http://schemas.openxmlformats.org/spreadsheetml/2006/main" count="104" uniqueCount="59">
  <si>
    <t>Plan gradnje komunalnih građevina odvodnje i pročišćavanja u razdoblju 2023.-2026.</t>
  </si>
  <si>
    <t>GRAĐEVINA</t>
  </si>
  <si>
    <t>REDNI BR.</t>
  </si>
  <si>
    <t>PROCIJENJENA VRIJEDNOST RADOVA (bez PDV-a)</t>
  </si>
  <si>
    <t>PLAN GRADNJE 2023.-2026.</t>
  </si>
  <si>
    <t>2023.</t>
  </si>
  <si>
    <t>2024.</t>
  </si>
  <si>
    <t>2025.</t>
  </si>
  <si>
    <t>2026.</t>
  </si>
  <si>
    <t>UKUPNO 2022.-2026.</t>
  </si>
  <si>
    <t>Ministarstvo/HV</t>
  </si>
  <si>
    <t>Fondovi EU</t>
  </si>
  <si>
    <t>Proračun Općine Medulin, naknada za razvoj</t>
  </si>
  <si>
    <t>PLANIRANI IZVOR FINANCIRANJA 2023.-2026.</t>
  </si>
  <si>
    <t>I</t>
  </si>
  <si>
    <t>AGLOMERACIJA MEDULIN</t>
  </si>
  <si>
    <t>1.</t>
  </si>
  <si>
    <t>2.</t>
  </si>
  <si>
    <t>Proširenje sustava prikupljanja i transporta otpadnih voda na području Općine Medulin (naselje Medulin) - EU projekt</t>
  </si>
  <si>
    <t>3.</t>
  </si>
  <si>
    <t>II</t>
  </si>
  <si>
    <t>UPOV MARLERA - nadogradnja na 2. stupanj proišćavanja - EU projekt</t>
  </si>
  <si>
    <t>AGLOMERACIJA BANJOLE</t>
  </si>
  <si>
    <t>Sanitarna odvodnja dijela naselja Vinkuran - Livadine - 3. faza</t>
  </si>
  <si>
    <t>Izgradnja transportnog kanalizacijskog cjevovoda Vintijan - Vinkuran</t>
  </si>
  <si>
    <t>Sanitarna odvodnja dijela naselja Banjole - Teza</t>
  </si>
  <si>
    <t>Izgradnja kanalizacijske mreže naselja Banjole - EU projekt</t>
  </si>
  <si>
    <t>Rekonstrukcija kanalizacijske mreže naselja Banjole - EU projekt</t>
  </si>
  <si>
    <t>Sustav prikupljanja i transporta otpadnih voda na području Općine Medulin - naselje Pomer - EU projekt</t>
  </si>
  <si>
    <t>Sustav prikupljanja i transporta otpadnih voda na području Općine Medulin - naselje Vinkuran - EU projekt</t>
  </si>
  <si>
    <t>Izgradnja sustava prikupljanja i transporta otpadnih voda naselja Vintijan - EU projekt</t>
  </si>
  <si>
    <t>Podmorski ispust</t>
  </si>
  <si>
    <t>4.</t>
  </si>
  <si>
    <t>5.</t>
  </si>
  <si>
    <t>6.</t>
  </si>
  <si>
    <t>7.</t>
  </si>
  <si>
    <t>8.</t>
  </si>
  <si>
    <t>9.</t>
  </si>
  <si>
    <t>10.</t>
  </si>
  <si>
    <t>11.</t>
  </si>
  <si>
    <t>III</t>
  </si>
  <si>
    <t>AGLOMERACIJA PREMANTURA</t>
  </si>
  <si>
    <t>Sanitarna odvodnja dijela naselja Premantura - Paredine 1</t>
  </si>
  <si>
    <t>Izgradnja sustava prikupljanja i transporta otpadnih voda na području Općine Medulin - naselje Premantura - EU projekt</t>
  </si>
  <si>
    <t>Sanitarna odvodnja dijela naselja Premantura Hrastovec - NPOO</t>
  </si>
  <si>
    <t>UPOV Premantura - nadogradnja na 1. stupanj pročišćavanja - EU projekt</t>
  </si>
  <si>
    <t>UPOV BANJOLE - BUMBIŠTE - 1. stupanj pročišćavanja</t>
  </si>
  <si>
    <t>UKUPNO</t>
  </si>
  <si>
    <t>Interni podaci Albanež d.o.o. za javnu odvodnju</t>
  </si>
  <si>
    <t>Tablica 1.</t>
  </si>
  <si>
    <t>Sanitarna odvodnja dijela naselja Medulin - Biškupije 12/13/14/15</t>
  </si>
  <si>
    <t>Tablica 2.</t>
  </si>
  <si>
    <t>Tablica 3.</t>
  </si>
  <si>
    <t>Sanitarna odvodnja dijela naselja Medulin - Munida Fk 7-4</t>
  </si>
  <si>
    <t>Sanitarna odvodnja dijela naselja Medulin kolektor F-1/1</t>
  </si>
  <si>
    <t>Sanitarna odvodnja dijela naselja Medulin kolektor F-1/1/1, F-1/1/2</t>
  </si>
  <si>
    <t>Izgradnja dijela sekundarne mreže naselja Medulin, Šaraje - K1</t>
  </si>
  <si>
    <t xml:space="preserve">Fekalna kanalizacija naselja Volme - FAZA I </t>
  </si>
  <si>
    <t>PLAN GRADNJE UKUPNO AGLOMERACIJE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</si>
</sst>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164" fontId="0" fillId="0" borderId="17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9" xfId="0" applyBorder="1"/>
    <xf numFmtId="0" fontId="0" fillId="0" borderId="16" xfId="0" applyBorder="1"/>
    <xf numFmtId="0" fontId="0" fillId="0" borderId="15" xfId="0" applyBorder="1"/>
    <xf numFmtId="0" fontId="0" fillId="0" borderId="5" xfId="0" applyBorder="1" applyAlignment="1">
      <alignment horizontal="center" vertical="center"/>
    </xf>
    <xf numFmtId="165" fontId="1" fillId="0" borderId="1" xfId="0" applyNumberFormat="1" applyFont="1" applyBorder="1"/>
    <xf numFmtId="165" fontId="0" fillId="0" borderId="15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wrapText="1"/>
    </xf>
    <xf numFmtId="165" fontId="0" fillId="0" borderId="24" xfId="0" applyNumberFormat="1" applyBorder="1" applyAlignment="1">
      <alignment horizontal="right" vertical="center"/>
    </xf>
    <xf numFmtId="0" fontId="0" fillId="0" borderId="12" xfId="0" applyBorder="1" applyAlignment="1">
      <alignment wrapText="1"/>
    </xf>
    <xf numFmtId="165" fontId="0" fillId="0" borderId="0" xfId="0" applyNumberFormat="1"/>
    <xf numFmtId="165" fontId="0" fillId="0" borderId="7" xfId="0" applyNumberFormat="1" applyBorder="1" applyAlignment="1">
      <alignment horizontal="right" vertical="center"/>
    </xf>
    <xf numFmtId="165" fontId="0" fillId="0" borderId="26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165" fontId="0" fillId="0" borderId="19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wrapText="1"/>
    </xf>
    <xf numFmtId="165" fontId="0" fillId="0" borderId="20" xfId="0" applyNumberFormat="1" applyBorder="1" applyAlignment="1">
      <alignment horizontal="right" vertical="center"/>
    </xf>
    <xf numFmtId="165" fontId="0" fillId="0" borderId="28" xfId="0" applyNumberFormat="1" applyBorder="1" applyAlignment="1">
      <alignment horizontal="right" vertical="center"/>
    </xf>
    <xf numFmtId="165" fontId="0" fillId="0" borderId="29" xfId="0" applyNumberFormat="1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 vertical="center"/>
    </xf>
    <xf numFmtId="165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wrapText="1"/>
    </xf>
    <xf numFmtId="164" fontId="0" fillId="0" borderId="20" xfId="0" applyNumberFormat="1" applyBorder="1" applyAlignment="1">
      <alignment horizontal="right" vertical="center"/>
    </xf>
    <xf numFmtId="165" fontId="0" fillId="0" borderId="32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/>
    <xf numFmtId="165" fontId="1" fillId="0" borderId="44" xfId="0" applyNumberFormat="1" applyFont="1" applyBorder="1"/>
    <xf numFmtId="165" fontId="1" fillId="0" borderId="45" xfId="0" applyNumberFormat="1" applyFont="1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wrapText="1"/>
    </xf>
    <xf numFmtId="165" fontId="0" fillId="0" borderId="10" xfId="0" applyNumberFormat="1" applyBorder="1" applyAlignment="1">
      <alignment horizontal="center" wrapText="1"/>
    </xf>
    <xf numFmtId="165" fontId="0" fillId="0" borderId="11" xfId="0" applyNumberFormat="1" applyBorder="1" applyAlignment="1">
      <alignment horizontal="center" wrapText="1"/>
    </xf>
    <xf numFmtId="165" fontId="0" fillId="0" borderId="39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wrapText="1"/>
    </xf>
    <xf numFmtId="165" fontId="0" fillId="0" borderId="40" xfId="0" applyNumberFormat="1" applyBorder="1" applyAlignment="1">
      <alignment horizontal="center" wrapText="1"/>
    </xf>
    <xf numFmtId="165" fontId="0" fillId="0" borderId="41" xfId="0" applyNumberFormat="1" applyBorder="1" applyAlignment="1">
      <alignment horizontal="center" wrapText="1"/>
    </xf>
    <xf numFmtId="165" fontId="0" fillId="0" borderId="26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 wrapText="1"/>
    </xf>
    <xf numFmtId="165" fontId="0" fillId="0" borderId="40" xfId="0" applyNumberFormat="1" applyBorder="1" applyAlignment="1">
      <alignment horizontal="center" vertical="center" wrapText="1"/>
    </xf>
    <xf numFmtId="165" fontId="0" fillId="0" borderId="41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C51A5-7FC6-497E-9A27-06C3CB8A841B}">
  <sheetPr>
    <pageSetUpPr fitToPage="1"/>
  </sheetPr>
  <dimension ref="A1:Q50"/>
  <sheetViews>
    <sheetView tabSelected="1" zoomScale="80" zoomScaleNormal="80" workbookViewId="0">
      <selection activeCell="O14" sqref="O14"/>
    </sheetView>
  </sheetViews>
  <sheetFormatPr defaultRowHeight="15" x14ac:dyDescent="0.25"/>
  <cols>
    <col min="2" max="2" width="32.5703125" customWidth="1"/>
    <col min="3" max="3" width="22.42578125" customWidth="1"/>
    <col min="4" max="4" width="16" customWidth="1"/>
    <col min="5" max="5" width="19.85546875" style="20" customWidth="1"/>
    <col min="6" max="6" width="20.42578125" style="20" customWidth="1"/>
    <col min="7" max="7" width="20.5703125" style="20" customWidth="1"/>
    <col min="8" max="8" width="21" style="20" customWidth="1"/>
    <col min="9" max="9" width="20.5703125" style="20" customWidth="1"/>
    <col min="10" max="10" width="20.140625" style="20" customWidth="1"/>
    <col min="11" max="11" width="18.42578125" style="20" customWidth="1"/>
    <col min="12" max="12" width="17.28515625" style="20" customWidth="1"/>
    <col min="13" max="13" width="14.42578125" bestFit="1" customWidth="1"/>
    <col min="14" max="14" width="13.28515625" bestFit="1" customWidth="1"/>
    <col min="15" max="15" width="15.42578125" customWidth="1"/>
    <col min="16" max="16" width="16.85546875" customWidth="1"/>
    <col min="17" max="17" width="14.7109375" customWidth="1"/>
  </cols>
  <sheetData>
    <row r="1" spans="1:17" x14ac:dyDescent="0.25">
      <c r="A1" t="s">
        <v>0</v>
      </c>
    </row>
    <row r="2" spans="1:17" ht="15.75" thickBot="1" x14ac:dyDescent="0.3">
      <c r="A2" t="s">
        <v>49</v>
      </c>
    </row>
    <row r="3" spans="1:17" ht="13.5" customHeight="1" x14ac:dyDescent="0.25">
      <c r="A3" s="43" t="s">
        <v>2</v>
      </c>
      <c r="B3" s="83" t="s">
        <v>1</v>
      </c>
      <c r="C3" s="86" t="s">
        <v>3</v>
      </c>
      <c r="D3" s="89" t="s">
        <v>4</v>
      </c>
      <c r="E3" s="44"/>
      <c r="F3" s="44"/>
      <c r="G3" s="44"/>
      <c r="H3" s="45"/>
      <c r="I3" s="43" t="s">
        <v>13</v>
      </c>
      <c r="J3" s="44"/>
      <c r="K3" s="44"/>
      <c r="L3" s="45"/>
      <c r="N3" s="101" t="s">
        <v>58</v>
      </c>
      <c r="O3" s="102"/>
      <c r="P3" s="102"/>
      <c r="Q3" s="103"/>
    </row>
    <row r="4" spans="1:17" ht="15.75" thickBot="1" x14ac:dyDescent="0.3">
      <c r="A4" s="82"/>
      <c r="B4" s="84"/>
      <c r="C4" s="87"/>
      <c r="D4" s="90"/>
      <c r="E4" s="47"/>
      <c r="F4" s="47"/>
      <c r="G4" s="47"/>
      <c r="H4" s="48"/>
      <c r="I4" s="46"/>
      <c r="J4" s="47"/>
      <c r="K4" s="47"/>
      <c r="L4" s="48"/>
      <c r="N4" s="104"/>
      <c r="O4" s="105"/>
      <c r="P4" s="105"/>
      <c r="Q4" s="106"/>
    </row>
    <row r="5" spans="1:17" x14ac:dyDescent="0.25">
      <c r="A5" s="82"/>
      <c r="B5" s="84"/>
      <c r="C5" s="87"/>
      <c r="D5" s="91" t="s">
        <v>5</v>
      </c>
      <c r="E5" s="63" t="s">
        <v>6</v>
      </c>
      <c r="F5" s="63" t="s">
        <v>7</v>
      </c>
      <c r="G5" s="63" t="s">
        <v>8</v>
      </c>
      <c r="H5" s="94" t="s">
        <v>9</v>
      </c>
      <c r="I5" s="63" t="s">
        <v>10</v>
      </c>
      <c r="J5" s="63" t="s">
        <v>11</v>
      </c>
      <c r="K5" s="66" t="s">
        <v>12</v>
      </c>
      <c r="L5" s="69" t="s">
        <v>47</v>
      </c>
      <c r="N5" s="91" t="s">
        <v>5</v>
      </c>
      <c r="O5" s="63" t="s">
        <v>6</v>
      </c>
      <c r="P5" s="63" t="s">
        <v>7</v>
      </c>
      <c r="Q5" s="63" t="s">
        <v>8</v>
      </c>
    </row>
    <row r="6" spans="1:17" x14ac:dyDescent="0.25">
      <c r="A6" s="82"/>
      <c r="B6" s="84"/>
      <c r="C6" s="87"/>
      <c r="D6" s="92"/>
      <c r="E6" s="64"/>
      <c r="F6" s="64"/>
      <c r="G6" s="64"/>
      <c r="H6" s="95"/>
      <c r="I6" s="64"/>
      <c r="J6" s="64"/>
      <c r="K6" s="67"/>
      <c r="L6" s="70"/>
      <c r="N6" s="92"/>
      <c r="O6" s="64"/>
      <c r="P6" s="64"/>
      <c r="Q6" s="64"/>
    </row>
    <row r="7" spans="1:17" ht="15.75" thickBot="1" x14ac:dyDescent="0.3">
      <c r="A7" s="46"/>
      <c r="B7" s="85"/>
      <c r="C7" s="88"/>
      <c r="D7" s="93"/>
      <c r="E7" s="65"/>
      <c r="F7" s="65"/>
      <c r="G7" s="65"/>
      <c r="H7" s="96"/>
      <c r="I7" s="65"/>
      <c r="J7" s="65"/>
      <c r="K7" s="68"/>
      <c r="L7" s="71"/>
      <c r="N7" s="97"/>
      <c r="O7" s="98"/>
      <c r="P7" s="98"/>
      <c r="Q7" s="98"/>
    </row>
    <row r="8" spans="1:17" ht="15.75" thickBot="1" x14ac:dyDescent="0.3">
      <c r="A8" s="39" t="s">
        <v>14</v>
      </c>
      <c r="B8" s="40" t="s">
        <v>15</v>
      </c>
      <c r="C8" s="10">
        <f t="shared" ref="C8:L8" si="0">SUM(C9:C15)</f>
        <v>7745208.3842129018</v>
      </c>
      <c r="D8" s="10">
        <f t="shared" si="0"/>
        <v>232280.32917440933</v>
      </c>
      <c r="E8" s="10">
        <f t="shared" si="0"/>
        <v>2281194.5845500398</v>
      </c>
      <c r="F8" s="10">
        <f t="shared" si="0"/>
        <v>2242171.4892487391</v>
      </c>
      <c r="G8" s="10">
        <f t="shared" si="0"/>
        <v>2989561.9856649856</v>
      </c>
      <c r="H8" s="10">
        <f t="shared" si="0"/>
        <v>7745208.3886381742</v>
      </c>
      <c r="I8" s="10">
        <f t="shared" si="0"/>
        <v>1208964.6933899657</v>
      </c>
      <c r="J8" s="41">
        <f t="shared" si="0"/>
        <v>5517549.7743562525</v>
      </c>
      <c r="K8" s="10">
        <f t="shared" si="0"/>
        <v>1018693.9208919567</v>
      </c>
      <c r="L8" s="42">
        <f t="shared" si="0"/>
        <v>7745208.3886381751</v>
      </c>
      <c r="N8" s="99">
        <f>SUM(D8+D24+D45)</f>
        <v>630475.17584550031</v>
      </c>
      <c r="O8" s="99">
        <f>SUM(E8+E24+E45)</f>
        <v>5887982.849691797</v>
      </c>
      <c r="P8" s="99">
        <f>SUM(F8+F24+F45)</f>
        <v>5505516.6962540485</v>
      </c>
      <c r="Q8" s="99">
        <f>SUM(G8+G24+G45)</f>
        <v>7014461.5398752326</v>
      </c>
    </row>
    <row r="9" spans="1:17" ht="30.75" customHeight="1" thickBot="1" x14ac:dyDescent="0.3">
      <c r="A9" s="37" t="s">
        <v>16</v>
      </c>
      <c r="B9" s="38" t="s">
        <v>56</v>
      </c>
      <c r="C9" s="12">
        <f>SUM(300000/7.534)</f>
        <v>39819.485001327317</v>
      </c>
      <c r="D9" s="12">
        <f>SUM(300000/7.534)</f>
        <v>39819.485001327317</v>
      </c>
      <c r="E9" s="12"/>
      <c r="F9" s="12"/>
      <c r="G9" s="12"/>
      <c r="H9" s="12">
        <f>SUM(300000/7.534)</f>
        <v>39819.485001327317</v>
      </c>
      <c r="I9" s="12"/>
      <c r="J9" s="12"/>
      <c r="K9" s="12">
        <f>SUM(300000/7.534)</f>
        <v>39819.485001327317</v>
      </c>
      <c r="L9" s="23">
        <f>SUM(300000/7.534)</f>
        <v>39819.485001327317</v>
      </c>
      <c r="N9" s="100"/>
      <c r="O9" s="100"/>
      <c r="P9" s="100"/>
      <c r="Q9" s="100"/>
    </row>
    <row r="10" spans="1:17" ht="30.75" customHeight="1" x14ac:dyDescent="0.25">
      <c r="A10" s="31" t="s">
        <v>17</v>
      </c>
      <c r="B10" s="30" t="s">
        <v>50</v>
      </c>
      <c r="C10" s="24">
        <f>SUM(294000/7.534)</f>
        <v>39023.095301300767</v>
      </c>
      <c r="D10" s="6"/>
      <c r="E10" s="24">
        <f>SUM(294000/7.534)</f>
        <v>39023.095301300767</v>
      </c>
      <c r="F10" s="24"/>
      <c r="G10" s="24"/>
      <c r="H10" s="24">
        <f>SUM(294000/7.534)</f>
        <v>39023.095301300767</v>
      </c>
      <c r="I10" s="24"/>
      <c r="J10" s="24"/>
      <c r="K10" s="24">
        <f>SUM(294000/7.534)</f>
        <v>39023.095301300767</v>
      </c>
      <c r="L10" s="32">
        <f>SUM(294000/7.534)</f>
        <v>39023.095301300767</v>
      </c>
    </row>
    <row r="11" spans="1:17" ht="30.75" customHeight="1" x14ac:dyDescent="0.25">
      <c r="A11" s="31" t="s">
        <v>19</v>
      </c>
      <c r="B11" s="30" t="s">
        <v>53</v>
      </c>
      <c r="C11" s="24">
        <f>SUM(240000/7.534)</f>
        <v>31855.588001061853</v>
      </c>
      <c r="D11" s="24">
        <f>SUM(240000/7.534)</f>
        <v>31855.588001061853</v>
      </c>
      <c r="E11" s="24"/>
      <c r="F11" s="24"/>
      <c r="G11" s="24"/>
      <c r="H11" s="24">
        <f>SUM(240000/7.534)</f>
        <v>31855.588001061853</v>
      </c>
      <c r="I11" s="24"/>
      <c r="J11" s="24"/>
      <c r="K11" s="24">
        <f>SUM(240000/7.534)</f>
        <v>31855.588001061853</v>
      </c>
      <c r="L11" s="32">
        <f>SUM(240000/7.534)</f>
        <v>31855.588001061853</v>
      </c>
    </row>
    <row r="12" spans="1:17" ht="30.75" customHeight="1" x14ac:dyDescent="0.25">
      <c r="A12" s="31" t="s">
        <v>32</v>
      </c>
      <c r="B12" s="30" t="s">
        <v>54</v>
      </c>
      <c r="C12" s="24">
        <f>SUM(800000/7.534)</f>
        <v>106185.29333687284</v>
      </c>
      <c r="D12" s="24">
        <f>SUM(800000/7.534)</f>
        <v>106185.29333687284</v>
      </c>
      <c r="E12" s="24"/>
      <c r="F12" s="24"/>
      <c r="G12" s="24"/>
      <c r="H12" s="24">
        <f>SUM(800000/7.534)</f>
        <v>106185.29333687284</v>
      </c>
      <c r="I12" s="24"/>
      <c r="J12" s="24"/>
      <c r="K12" s="24">
        <f>SUM(800000/7.534)</f>
        <v>106185.29333687284</v>
      </c>
      <c r="L12" s="32">
        <f>SUM(800000/7.534)</f>
        <v>106185.29333687284</v>
      </c>
    </row>
    <row r="13" spans="1:17" ht="30.75" customHeight="1" x14ac:dyDescent="0.25">
      <c r="A13" s="31" t="s">
        <v>33</v>
      </c>
      <c r="B13" s="30" t="s">
        <v>55</v>
      </c>
      <c r="C13" s="24">
        <f>SUM(410000/7.534)</f>
        <v>54419.962835147337</v>
      </c>
      <c r="D13" s="24">
        <f>SUM(410000/7.534)</f>
        <v>54419.962835147337</v>
      </c>
      <c r="E13" s="24"/>
      <c r="F13" s="24"/>
      <c r="G13" s="24"/>
      <c r="H13" s="24">
        <f>SUM(410000/7.534)</f>
        <v>54419.962835147337</v>
      </c>
      <c r="I13" s="24"/>
      <c r="J13" s="24"/>
      <c r="K13" s="24">
        <f>SUM(410000/7.534)</f>
        <v>54419.962835147337</v>
      </c>
      <c r="L13" s="32">
        <f>SUM(410000/7.534)</f>
        <v>54419.962835147337</v>
      </c>
    </row>
    <row r="14" spans="1:17" ht="62.25" customHeight="1" x14ac:dyDescent="0.25">
      <c r="A14" s="31" t="s">
        <v>34</v>
      </c>
      <c r="B14" s="30" t="s">
        <v>18</v>
      </c>
      <c r="C14" s="24">
        <v>2858162.99</v>
      </c>
      <c r="D14" s="4"/>
      <c r="E14" s="24">
        <f>SUM(6460020)/7.534</f>
        <v>857448.8983275817</v>
      </c>
      <c r="F14" s="24">
        <f>SUM(6460020)/7.534</f>
        <v>857448.8983275817</v>
      </c>
      <c r="G14" s="24">
        <f>SUM(8613360)/7.534</f>
        <v>1143265.1977701089</v>
      </c>
      <c r="H14" s="24">
        <f>SUM(E14:G14)</f>
        <v>2858162.9944252726</v>
      </c>
      <c r="I14" s="24">
        <f>SUM(H14*0.1)</f>
        <v>285816.29944252729</v>
      </c>
      <c r="J14" s="24">
        <f>SUM(H14*0.8)</f>
        <v>2286530.3955402183</v>
      </c>
      <c r="K14" s="24">
        <f>SUM(H14*0.1)</f>
        <v>285816.29944252729</v>
      </c>
      <c r="L14" s="32">
        <f>SUM(I14:K14)</f>
        <v>2858162.994425273</v>
      </c>
    </row>
    <row r="15" spans="1:17" ht="28.5" customHeight="1" thickBot="1" x14ac:dyDescent="0.3">
      <c r="A15" s="33" t="s">
        <v>35</v>
      </c>
      <c r="B15" s="34" t="s">
        <v>21</v>
      </c>
      <c r="C15" s="27">
        <f>SUM(34775000/7.534)</f>
        <v>4615741.9697371917</v>
      </c>
      <c r="D15" s="35"/>
      <c r="E15" s="27">
        <f>C15*0.3</f>
        <v>1384722.5909211575</v>
      </c>
      <c r="F15" s="27">
        <f>C15*0.3</f>
        <v>1384722.5909211575</v>
      </c>
      <c r="G15" s="27">
        <f>C15*0.4</f>
        <v>1846296.7878948767</v>
      </c>
      <c r="H15" s="27">
        <f>SUM(D15:G15)</f>
        <v>4615741.9697371917</v>
      </c>
      <c r="I15" s="27">
        <f>H15*0.2</f>
        <v>923148.39394743834</v>
      </c>
      <c r="J15" s="27">
        <f>H15*0.7</f>
        <v>3231019.3788160342</v>
      </c>
      <c r="K15" s="27">
        <f>H15*0.1</f>
        <v>461574.19697371917</v>
      </c>
      <c r="L15" s="36">
        <f>SUM(I15:K15)</f>
        <v>4615741.9697371917</v>
      </c>
    </row>
    <row r="16" spans="1:17" x14ac:dyDescent="0.25">
      <c r="A16" t="s">
        <v>48</v>
      </c>
    </row>
    <row r="18" spans="1:14" ht="15.75" thickBot="1" x14ac:dyDescent="0.3">
      <c r="A18" s="5" t="s">
        <v>51</v>
      </c>
    </row>
    <row r="19" spans="1:14" ht="15" customHeight="1" x14ac:dyDescent="0.25">
      <c r="A19" s="53" t="s">
        <v>2</v>
      </c>
      <c r="B19" s="73" t="s">
        <v>1</v>
      </c>
      <c r="C19" s="76" t="s">
        <v>3</v>
      </c>
      <c r="D19" s="53" t="s">
        <v>4</v>
      </c>
      <c r="E19" s="49"/>
      <c r="F19" s="49"/>
      <c r="G19" s="49"/>
      <c r="H19" s="49"/>
      <c r="I19" s="49" t="s">
        <v>13</v>
      </c>
      <c r="J19" s="49"/>
      <c r="K19" s="49"/>
      <c r="L19" s="50"/>
      <c r="M19" s="14"/>
      <c r="N19" s="14"/>
    </row>
    <row r="20" spans="1:14" ht="15.75" thickBot="1" x14ac:dyDescent="0.3">
      <c r="A20" s="72"/>
      <c r="B20" s="74"/>
      <c r="C20" s="77"/>
      <c r="D20" s="54"/>
      <c r="E20" s="55"/>
      <c r="F20" s="55"/>
      <c r="G20" s="55"/>
      <c r="H20" s="55"/>
      <c r="I20" s="51"/>
      <c r="J20" s="51"/>
      <c r="K20" s="51"/>
      <c r="L20" s="52"/>
      <c r="M20" s="14"/>
      <c r="N20" s="14"/>
    </row>
    <row r="21" spans="1:14" ht="15" customHeight="1" x14ac:dyDescent="0.25">
      <c r="A21" s="72"/>
      <c r="B21" s="74"/>
      <c r="C21" s="77"/>
      <c r="D21" s="73" t="s">
        <v>5</v>
      </c>
      <c r="E21" s="57" t="s">
        <v>6</v>
      </c>
      <c r="F21" s="57" t="s">
        <v>7</v>
      </c>
      <c r="G21" s="57" t="s">
        <v>8</v>
      </c>
      <c r="H21" s="79" t="s">
        <v>9</v>
      </c>
      <c r="I21" s="57" t="s">
        <v>10</v>
      </c>
      <c r="J21" s="57" t="s">
        <v>11</v>
      </c>
      <c r="K21" s="60" t="s">
        <v>12</v>
      </c>
      <c r="L21" s="57" t="s">
        <v>47</v>
      </c>
    </row>
    <row r="22" spans="1:14" x14ac:dyDescent="0.25">
      <c r="A22" s="72"/>
      <c r="B22" s="74"/>
      <c r="C22" s="77"/>
      <c r="D22" s="74"/>
      <c r="E22" s="58"/>
      <c r="F22" s="58"/>
      <c r="G22" s="58"/>
      <c r="H22" s="80"/>
      <c r="I22" s="58"/>
      <c r="J22" s="58"/>
      <c r="K22" s="61"/>
      <c r="L22" s="58"/>
    </row>
    <row r="23" spans="1:14" ht="15.75" thickBot="1" x14ac:dyDescent="0.3">
      <c r="A23" s="54"/>
      <c r="B23" s="75"/>
      <c r="C23" s="78"/>
      <c r="D23" s="75"/>
      <c r="E23" s="59"/>
      <c r="F23" s="59"/>
      <c r="G23" s="59"/>
      <c r="H23" s="81"/>
      <c r="I23" s="59"/>
      <c r="J23" s="59"/>
      <c r="K23" s="62"/>
      <c r="L23" s="59"/>
    </row>
    <row r="24" spans="1:14" ht="15.75" thickBot="1" x14ac:dyDescent="0.3">
      <c r="A24" s="15" t="s">
        <v>20</v>
      </c>
      <c r="B24" s="2" t="s">
        <v>22</v>
      </c>
      <c r="C24" s="10">
        <f t="shared" ref="C24:L24" si="1">SUM(C25:C35)</f>
        <v>7861532.8908946114</v>
      </c>
      <c r="D24" s="1">
        <f t="shared" si="1"/>
        <v>132731.61667109106</v>
      </c>
      <c r="E24" s="10">
        <f t="shared" si="1"/>
        <v>2499532.2272365279</v>
      </c>
      <c r="F24" s="10">
        <f t="shared" si="1"/>
        <v>2251655.9331032652</v>
      </c>
      <c r="G24" s="10">
        <f t="shared" si="1"/>
        <v>2941443.7483408554</v>
      </c>
      <c r="H24" s="10">
        <f t="shared" si="1"/>
        <v>7861532.8908946114</v>
      </c>
      <c r="I24" s="10">
        <f t="shared" si="1"/>
        <v>1232711.7069285905</v>
      </c>
      <c r="J24" s="10">
        <f t="shared" si="1"/>
        <v>5488198.8319617733</v>
      </c>
      <c r="K24" s="10">
        <f t="shared" si="1"/>
        <v>1216943.0315901248</v>
      </c>
      <c r="L24" s="10">
        <f t="shared" si="1"/>
        <v>7861532.8908946123</v>
      </c>
    </row>
    <row r="25" spans="1:14" ht="30" x14ac:dyDescent="0.25">
      <c r="A25" s="16" t="s">
        <v>16</v>
      </c>
      <c r="B25" s="17" t="s">
        <v>23</v>
      </c>
      <c r="C25" s="11">
        <f>SUM(575000/7.534)</f>
        <v>76320.679585877355</v>
      </c>
      <c r="D25" s="8"/>
      <c r="E25" s="11">
        <f>SUM(575000/7.534)</f>
        <v>76320.679585877355</v>
      </c>
      <c r="F25" s="11"/>
      <c r="G25" s="11"/>
      <c r="H25" s="11">
        <f>SUM(575000/7.534)</f>
        <v>76320.679585877355</v>
      </c>
      <c r="I25" s="11">
        <f>SUM(575000/7.534)</f>
        <v>76320.679585877355</v>
      </c>
      <c r="J25" s="11"/>
      <c r="K25" s="11">
        <f>SUM(575000/7.534)</f>
        <v>76320.679585877355</v>
      </c>
      <c r="L25" s="18">
        <f>SUM(575000/7.534)</f>
        <v>76320.679585877355</v>
      </c>
    </row>
    <row r="26" spans="1:14" ht="45" x14ac:dyDescent="0.25">
      <c r="A26" s="25" t="s">
        <v>17</v>
      </c>
      <c r="B26" s="26" t="s">
        <v>24</v>
      </c>
      <c r="C26" s="24">
        <f>SUM(1365000/7.534)</f>
        <v>181178.6567560393</v>
      </c>
      <c r="D26" s="7"/>
      <c r="E26" s="24">
        <f>SUM(1092500/7.534)</f>
        <v>145009.29121316699</v>
      </c>
      <c r="F26" s="24"/>
      <c r="G26" s="24"/>
      <c r="H26" s="24">
        <f>SUM(C26*1)</f>
        <v>181178.6567560393</v>
      </c>
      <c r="I26" s="12">
        <f>H26*0.1</f>
        <v>18117.865675603931</v>
      </c>
      <c r="J26" s="24">
        <f>SUM(C26*0.8)</f>
        <v>144942.92540483145</v>
      </c>
      <c r="K26" s="12">
        <f>H26*0.1</f>
        <v>18117.865675603931</v>
      </c>
      <c r="L26" s="22">
        <f>SUM(I26:K26)</f>
        <v>181178.65675603933</v>
      </c>
    </row>
    <row r="27" spans="1:14" ht="30" x14ac:dyDescent="0.25">
      <c r="A27" s="25" t="s">
        <v>19</v>
      </c>
      <c r="B27" s="26" t="s">
        <v>25</v>
      </c>
      <c r="C27" s="24">
        <f>SUM(200000/7.534)</f>
        <v>26546.32333421821</v>
      </c>
      <c r="E27" s="24">
        <f>SUM(200000/7.534)</f>
        <v>26546.32333421821</v>
      </c>
      <c r="F27" s="24"/>
      <c r="G27" s="24"/>
      <c r="H27" s="24">
        <f>E27</f>
        <v>26546.32333421821</v>
      </c>
      <c r="I27" s="12"/>
      <c r="J27" s="24"/>
      <c r="K27" s="24">
        <f>SUM(200000/7.534)</f>
        <v>26546.32333421821</v>
      </c>
      <c r="L27" s="22">
        <f>SUM(I27:K27)</f>
        <v>26546.32333421821</v>
      </c>
    </row>
    <row r="28" spans="1:14" ht="30" x14ac:dyDescent="0.25">
      <c r="A28" s="25" t="s">
        <v>32</v>
      </c>
      <c r="B28" s="26" t="s">
        <v>57</v>
      </c>
      <c r="C28" s="24">
        <f>SUM(2831188.8/7.534)</f>
        <v>375788.26652508625</v>
      </c>
      <c r="D28" s="24">
        <f>SUM(1000000/7.534)</f>
        <v>132731.61667109106</v>
      </c>
      <c r="E28" s="24">
        <f>SUM(686695.8/7.534)</f>
        <v>91146.243695248209</v>
      </c>
      <c r="F28" s="24">
        <f>SUM(686695.8/7.534)</f>
        <v>91146.243695248209</v>
      </c>
      <c r="G28" s="24">
        <f>SUM(457797.2/7.534)</f>
        <v>60764.162463498811</v>
      </c>
      <c r="H28" s="24">
        <f>SUM(D28:G28)</f>
        <v>375788.26652508631</v>
      </c>
      <c r="I28" s="24"/>
      <c r="J28" s="24"/>
      <c r="K28" s="24">
        <f>SUM(2831188.8/7.534)</f>
        <v>375788.26652508625</v>
      </c>
      <c r="L28" s="22">
        <f>SUM(I28:K28)</f>
        <v>375788.26652508625</v>
      </c>
    </row>
    <row r="29" spans="1:14" ht="30" x14ac:dyDescent="0.25">
      <c r="A29" s="25" t="s">
        <v>33</v>
      </c>
      <c r="B29" s="26" t="s">
        <v>26</v>
      </c>
      <c r="C29" s="24">
        <f>SUM(12088000/7.534)</f>
        <v>1604459.7823201488</v>
      </c>
      <c r="D29" s="4"/>
      <c r="E29" s="24">
        <f>(C29*0.3)</f>
        <v>481337.9346960446</v>
      </c>
      <c r="F29" s="24">
        <f>(C29*0.3)</f>
        <v>481337.9346960446</v>
      </c>
      <c r="G29" s="24">
        <f>(C29*0.4)</f>
        <v>641783.91292805958</v>
      </c>
      <c r="H29" s="24">
        <f>SUM(E29:G29)</f>
        <v>1604459.7823201488</v>
      </c>
      <c r="I29" s="24">
        <f>H29*0.2</f>
        <v>320891.95646402979</v>
      </c>
      <c r="J29" s="24">
        <f>H29*0.7</f>
        <v>1123121.847624104</v>
      </c>
      <c r="K29" s="24">
        <f>H29*0.1</f>
        <v>160445.9782320149</v>
      </c>
      <c r="L29" s="22">
        <f>SUM(I29:K29)</f>
        <v>1604459.7823201488</v>
      </c>
    </row>
    <row r="30" spans="1:14" ht="30" x14ac:dyDescent="0.25">
      <c r="A30" s="25" t="s">
        <v>34</v>
      </c>
      <c r="B30" s="26" t="s">
        <v>27</v>
      </c>
      <c r="C30" s="24">
        <f>SUM(7307400/7.534)</f>
        <v>969923.01566233078</v>
      </c>
      <c r="D30" s="4"/>
      <c r="E30" s="24">
        <f t="shared" ref="E30:E35" si="2">C30*0.3</f>
        <v>290976.90469869925</v>
      </c>
      <c r="F30" s="24">
        <f t="shared" ref="F30:F35" si="3">C30*0.3</f>
        <v>290976.90469869925</v>
      </c>
      <c r="G30" s="24">
        <f t="shared" ref="G30:G35" si="4">C30*0.4</f>
        <v>387969.20626493235</v>
      </c>
      <c r="H30" s="24">
        <f>SUM(E30:G30)</f>
        <v>969923.0156623309</v>
      </c>
      <c r="I30" s="24">
        <f>(H30*0.2)</f>
        <v>193984.6031324662</v>
      </c>
      <c r="J30" s="24">
        <f>(H30*0.7)</f>
        <v>678946.11096363154</v>
      </c>
      <c r="K30" s="24">
        <f>(H30*0.1)</f>
        <v>96992.301566233102</v>
      </c>
      <c r="L30" s="22">
        <f>SUM(I30:K30)</f>
        <v>969923.0156623309</v>
      </c>
    </row>
    <row r="31" spans="1:14" ht="60" x14ac:dyDescent="0.25">
      <c r="A31" s="25" t="s">
        <v>35</v>
      </c>
      <c r="B31" s="26" t="s">
        <v>28</v>
      </c>
      <c r="C31" s="24">
        <f>SUM(1134500/7.534)</f>
        <v>150584.01911335281</v>
      </c>
      <c r="D31" s="4"/>
      <c r="E31" s="24">
        <f>(C31*0.3)</f>
        <v>45175.205734005845</v>
      </c>
      <c r="F31" s="24">
        <f>(C31*0.3)</f>
        <v>45175.205734005845</v>
      </c>
      <c r="G31" s="24">
        <f>(C31*0.4)</f>
        <v>60233.60764534113</v>
      </c>
      <c r="H31" s="24">
        <f>SUM(D31:G31)</f>
        <v>150584.01911335281</v>
      </c>
      <c r="I31" s="24">
        <f t="shared" ref="I31:I33" si="5">H31*0.2</f>
        <v>30116.803822670565</v>
      </c>
      <c r="J31" s="24">
        <f t="shared" ref="J31:J33" si="6">H31*0.7</f>
        <v>105408.81337934696</v>
      </c>
      <c r="K31" s="24">
        <f t="shared" ref="K31:K35" si="7">H31*0.1</f>
        <v>15058.401911335282</v>
      </c>
      <c r="L31" s="22">
        <f>SUM(I31:K31)</f>
        <v>150584.01911335278</v>
      </c>
    </row>
    <row r="32" spans="1:14" ht="60" x14ac:dyDescent="0.25">
      <c r="A32" s="25" t="s">
        <v>36</v>
      </c>
      <c r="B32" s="26" t="s">
        <v>29</v>
      </c>
      <c r="C32" s="24">
        <f>SUM(3670000/7.534)</f>
        <v>487125.03318290418</v>
      </c>
      <c r="D32" s="4"/>
      <c r="E32" s="24">
        <f t="shared" si="2"/>
        <v>146137.50995487126</v>
      </c>
      <c r="F32" s="24">
        <f t="shared" si="3"/>
        <v>146137.50995487126</v>
      </c>
      <c r="G32" s="24">
        <f t="shared" si="4"/>
        <v>194850.01327316169</v>
      </c>
      <c r="H32" s="24">
        <f t="shared" ref="H32:H35" si="8">SUM(D32:G32)</f>
        <v>487125.03318290424</v>
      </c>
      <c r="I32" s="24">
        <f t="shared" si="5"/>
        <v>97425.00663658086</v>
      </c>
      <c r="J32" s="24">
        <f t="shared" si="6"/>
        <v>340987.52322803292</v>
      </c>
      <c r="K32" s="24">
        <f t="shared" si="7"/>
        <v>48712.50331829043</v>
      </c>
      <c r="L32" s="22">
        <f>SUM(I32:K32)</f>
        <v>487125.03318290424</v>
      </c>
    </row>
    <row r="33" spans="1:14" ht="45" x14ac:dyDescent="0.25">
      <c r="A33" s="25" t="s">
        <v>37</v>
      </c>
      <c r="B33" s="26" t="s">
        <v>30</v>
      </c>
      <c r="C33" s="24">
        <f>SUM(7300000/7.534)</f>
        <v>968940.80169896467</v>
      </c>
      <c r="D33" s="4"/>
      <c r="E33" s="24">
        <f t="shared" si="2"/>
        <v>290682.24050968938</v>
      </c>
      <c r="F33" s="24">
        <f t="shared" si="3"/>
        <v>290682.24050968938</v>
      </c>
      <c r="G33" s="24">
        <f t="shared" si="4"/>
        <v>387576.32067958592</v>
      </c>
      <c r="H33" s="24">
        <f t="shared" si="8"/>
        <v>968940.80169896467</v>
      </c>
      <c r="I33" s="24">
        <f t="shared" si="5"/>
        <v>193788.16033979296</v>
      </c>
      <c r="J33" s="24">
        <f t="shared" si="6"/>
        <v>678258.56118927523</v>
      </c>
      <c r="K33" s="24">
        <f t="shared" si="7"/>
        <v>96894.080169896479</v>
      </c>
      <c r="L33" s="22">
        <f>SUM(I33:K33)</f>
        <v>968940.80169896467</v>
      </c>
    </row>
    <row r="34" spans="1:14" ht="15" customHeight="1" x14ac:dyDescent="0.25">
      <c r="A34" s="25" t="s">
        <v>38</v>
      </c>
      <c r="B34" s="26" t="s">
        <v>31</v>
      </c>
      <c r="C34" s="24">
        <f>SUM(2457000/7.534)</f>
        <v>326121.58216087072</v>
      </c>
      <c r="D34" s="4"/>
      <c r="E34" s="24">
        <f t="shared" si="2"/>
        <v>97836.47464826121</v>
      </c>
      <c r="F34" s="24">
        <f t="shared" si="3"/>
        <v>97836.47464826121</v>
      </c>
      <c r="G34" s="24">
        <f t="shared" si="4"/>
        <v>130448.6328643483</v>
      </c>
      <c r="H34" s="24">
        <f t="shared" si="8"/>
        <v>326121.58216087072</v>
      </c>
      <c r="I34" s="24">
        <f>H34*0.1</f>
        <v>32612.158216087075</v>
      </c>
      <c r="J34" s="24">
        <f>H34*0.8</f>
        <v>260897.2657286966</v>
      </c>
      <c r="K34" s="24">
        <f t="shared" si="7"/>
        <v>32612.158216087075</v>
      </c>
      <c r="L34" s="22">
        <f>SUM(I34:K34)</f>
        <v>326121.58216087078</v>
      </c>
    </row>
    <row r="35" spans="1:14" ht="30.75" thickBot="1" x14ac:dyDescent="0.3">
      <c r="A35" s="9" t="s">
        <v>39</v>
      </c>
      <c r="B35" s="19" t="s">
        <v>46</v>
      </c>
      <c r="C35" s="13">
        <f>SUM(20300700/7.534)</f>
        <v>2694544.7305548182</v>
      </c>
      <c r="D35" s="3"/>
      <c r="E35" s="13">
        <f t="shared" si="2"/>
        <v>808363.41916644538</v>
      </c>
      <c r="F35" s="13">
        <f t="shared" si="3"/>
        <v>808363.41916644538</v>
      </c>
      <c r="G35" s="13">
        <f t="shared" si="4"/>
        <v>1077817.8922219274</v>
      </c>
      <c r="H35" s="13">
        <f t="shared" si="8"/>
        <v>2694544.7305548182</v>
      </c>
      <c r="I35" s="27">
        <f>H35*0.1</f>
        <v>269454.47305548185</v>
      </c>
      <c r="J35" s="27">
        <f>H35*0.8</f>
        <v>2155635.7844438548</v>
      </c>
      <c r="K35" s="27">
        <f t="shared" si="7"/>
        <v>269454.47305548185</v>
      </c>
      <c r="L35" s="21">
        <f>SUM(I35:K35)</f>
        <v>2694544.7305548186</v>
      </c>
    </row>
    <row r="36" spans="1:14" ht="15" customHeight="1" x14ac:dyDescent="0.25">
      <c r="A36" t="s">
        <v>48</v>
      </c>
    </row>
    <row r="39" spans="1:14" ht="15.75" thickBot="1" x14ac:dyDescent="0.3">
      <c r="A39" t="s">
        <v>52</v>
      </c>
    </row>
    <row r="40" spans="1:14" ht="15" customHeight="1" x14ac:dyDescent="0.25">
      <c r="A40" s="53" t="s">
        <v>2</v>
      </c>
      <c r="B40" s="73" t="s">
        <v>1</v>
      </c>
      <c r="C40" s="76" t="s">
        <v>3</v>
      </c>
      <c r="D40" s="53" t="s">
        <v>4</v>
      </c>
      <c r="E40" s="49"/>
      <c r="F40" s="49"/>
      <c r="G40" s="49"/>
      <c r="H40" s="50"/>
      <c r="I40" s="53" t="s">
        <v>13</v>
      </c>
      <c r="J40" s="49"/>
      <c r="K40" s="49"/>
      <c r="L40" s="50"/>
      <c r="M40" s="14"/>
      <c r="N40" s="14"/>
    </row>
    <row r="41" spans="1:14" ht="15.75" thickBot="1" x14ac:dyDescent="0.3">
      <c r="A41" s="72"/>
      <c r="B41" s="74"/>
      <c r="C41" s="77"/>
      <c r="D41" s="54"/>
      <c r="E41" s="55"/>
      <c r="F41" s="55"/>
      <c r="G41" s="55"/>
      <c r="H41" s="56"/>
      <c r="I41" s="54"/>
      <c r="J41" s="55"/>
      <c r="K41" s="55"/>
      <c r="L41" s="56"/>
      <c r="M41" s="14"/>
      <c r="N41" s="14"/>
    </row>
    <row r="42" spans="1:14" ht="15" customHeight="1" x14ac:dyDescent="0.25">
      <c r="A42" s="72"/>
      <c r="B42" s="74"/>
      <c r="C42" s="77"/>
      <c r="D42" s="73" t="s">
        <v>5</v>
      </c>
      <c r="E42" s="57" t="s">
        <v>6</v>
      </c>
      <c r="F42" s="57" t="s">
        <v>7</v>
      </c>
      <c r="G42" s="57" t="s">
        <v>8</v>
      </c>
      <c r="H42" s="79" t="s">
        <v>9</v>
      </c>
      <c r="I42" s="57" t="s">
        <v>10</v>
      </c>
      <c r="J42" s="57" t="s">
        <v>11</v>
      </c>
      <c r="K42" s="60" t="s">
        <v>12</v>
      </c>
      <c r="L42" s="57" t="s">
        <v>47</v>
      </c>
    </row>
    <row r="43" spans="1:14" x14ac:dyDescent="0.25">
      <c r="A43" s="72"/>
      <c r="B43" s="74"/>
      <c r="C43" s="77"/>
      <c r="D43" s="74"/>
      <c r="E43" s="58"/>
      <c r="F43" s="58"/>
      <c r="G43" s="58"/>
      <c r="H43" s="80"/>
      <c r="I43" s="58"/>
      <c r="J43" s="58"/>
      <c r="K43" s="61"/>
      <c r="L43" s="58"/>
    </row>
    <row r="44" spans="1:14" ht="15.75" thickBot="1" x14ac:dyDescent="0.3">
      <c r="A44" s="54"/>
      <c r="B44" s="75"/>
      <c r="C44" s="78"/>
      <c r="D44" s="75"/>
      <c r="E44" s="59"/>
      <c r="F44" s="59"/>
      <c r="G44" s="59"/>
      <c r="H44" s="81"/>
      <c r="I44" s="59"/>
      <c r="J44" s="59"/>
      <c r="K44" s="62"/>
      <c r="L44" s="59"/>
    </row>
    <row r="45" spans="1:14" ht="15.75" thickBot="1" x14ac:dyDescent="0.3">
      <c r="A45" s="15" t="s">
        <v>40</v>
      </c>
      <c r="B45" s="2" t="s">
        <v>41</v>
      </c>
      <c r="C45" s="10">
        <f t="shared" ref="C45:L45" si="9">SUM(C46:C49)</f>
        <v>3467864.3436766658</v>
      </c>
      <c r="D45" s="10">
        <f t="shared" si="9"/>
        <v>265463.23</v>
      </c>
      <c r="E45" s="10">
        <f t="shared" si="9"/>
        <v>1107256.0379052295</v>
      </c>
      <c r="F45" s="10">
        <f t="shared" si="9"/>
        <v>1011689.2739020439</v>
      </c>
      <c r="G45" s="10">
        <f t="shared" si="9"/>
        <v>1083455.8058693921</v>
      </c>
      <c r="H45" s="10">
        <f t="shared" si="9"/>
        <v>3467864.3476766655</v>
      </c>
      <c r="I45" s="10">
        <f t="shared" si="9"/>
        <v>651623.83853724459</v>
      </c>
      <c r="J45" s="10">
        <f t="shared" si="9"/>
        <v>2459897.3979714359</v>
      </c>
      <c r="K45" s="10">
        <f t="shared" si="9"/>
        <v>356343.11116798513</v>
      </c>
      <c r="L45" s="10">
        <f t="shared" si="9"/>
        <v>3467864.3476766655</v>
      </c>
    </row>
    <row r="46" spans="1:14" ht="30" x14ac:dyDescent="0.25">
      <c r="A46" s="16" t="s">
        <v>16</v>
      </c>
      <c r="B46" s="17" t="s">
        <v>42</v>
      </c>
      <c r="C46" s="11">
        <f>SUM(720000/7.534)</f>
        <v>95566.764003185555</v>
      </c>
      <c r="E46" s="11">
        <f>SUM(720000/7.534)</f>
        <v>95566.764003185555</v>
      </c>
      <c r="F46" s="11"/>
      <c r="G46" s="11"/>
      <c r="H46" s="11">
        <f>E46</f>
        <v>95566.764003185555</v>
      </c>
      <c r="I46" s="11">
        <f>H46*0.8</f>
        <v>76453.41120254845</v>
      </c>
      <c r="J46" s="11"/>
      <c r="K46" s="11">
        <f>H46*0.2</f>
        <v>19113.352800637113</v>
      </c>
      <c r="L46" s="28">
        <f>SUM(I46:K46)</f>
        <v>95566.764003185555</v>
      </c>
    </row>
    <row r="47" spans="1:14" ht="30" x14ac:dyDescent="0.25">
      <c r="A47" s="25" t="s">
        <v>17</v>
      </c>
      <c r="B47" s="26" t="s">
        <v>44</v>
      </c>
      <c r="C47" s="24">
        <v>992890.89</v>
      </c>
      <c r="D47" s="24">
        <v>265463.23</v>
      </c>
      <c r="E47" s="24">
        <f>C47*0.3</f>
        <v>297867.26699999999</v>
      </c>
      <c r="F47" s="24">
        <f>C47*0.3</f>
        <v>297867.26699999999</v>
      </c>
      <c r="G47" s="24">
        <v>131693.13</v>
      </c>
      <c r="H47" s="24">
        <f>SUM(D47:G47)</f>
        <v>992890.89399999997</v>
      </c>
      <c r="I47" s="24">
        <f>H47*0.1</f>
        <v>99289.089399999997</v>
      </c>
      <c r="J47" s="24">
        <f>H47*0.8</f>
        <v>794312.71519999998</v>
      </c>
      <c r="K47" s="24">
        <f>H47*0.1</f>
        <v>99289.089399999997</v>
      </c>
      <c r="L47" s="29">
        <f>SUM(I47:K47)</f>
        <v>992890.89399999985</v>
      </c>
    </row>
    <row r="48" spans="1:14" ht="60" x14ac:dyDescent="0.25">
      <c r="A48" s="25" t="s">
        <v>19</v>
      </c>
      <c r="B48" s="26" t="s">
        <v>43</v>
      </c>
      <c r="C48" s="24">
        <f>SUM(9971450/7.534)</f>
        <v>1323526.6790549508</v>
      </c>
      <c r="D48" s="4"/>
      <c r="E48" s="24">
        <f t="shared" ref="E48:E49" si="10">C48*0.3</f>
        <v>397058.00371648523</v>
      </c>
      <c r="F48" s="24">
        <f t="shared" ref="F48:F49" si="11">C48*0.3</f>
        <v>397058.00371648523</v>
      </c>
      <c r="G48" s="24">
        <f>C48*0.4</f>
        <v>529410.67162198038</v>
      </c>
      <c r="H48" s="24">
        <f t="shared" ref="H48:H49" si="12">SUM(D48:G48)</f>
        <v>1323526.6790549508</v>
      </c>
      <c r="I48" s="24">
        <f>H48*0.2</f>
        <v>264705.33581099019</v>
      </c>
      <c r="J48" s="24">
        <f>H48*0.7</f>
        <v>926468.67533846549</v>
      </c>
      <c r="K48" s="24">
        <f>H48*0.1</f>
        <v>132352.66790549509</v>
      </c>
      <c r="L48" s="29">
        <f>SUM(I48:K48)</f>
        <v>1323526.6790549508</v>
      </c>
    </row>
    <row r="49" spans="1:12" ht="45.75" thickBot="1" x14ac:dyDescent="0.3">
      <c r="A49" s="9" t="s">
        <v>32</v>
      </c>
      <c r="B49" s="19" t="s">
        <v>45</v>
      </c>
      <c r="C49" s="13">
        <f>SUM(7955000/7.534)</f>
        <v>1055880.0106185293</v>
      </c>
      <c r="D49" s="3"/>
      <c r="E49" s="13">
        <f t="shared" si="10"/>
        <v>316764.00318555877</v>
      </c>
      <c r="F49" s="13">
        <f t="shared" si="11"/>
        <v>316764.00318555877</v>
      </c>
      <c r="G49" s="13">
        <f>C49*0.4</f>
        <v>422352.00424741174</v>
      </c>
      <c r="H49" s="13">
        <f t="shared" si="12"/>
        <v>1055880.0106185293</v>
      </c>
      <c r="I49" s="13">
        <f>H49*0.2</f>
        <v>211176.00212370587</v>
      </c>
      <c r="J49" s="13">
        <f>H49*0.7</f>
        <v>739116.00743297045</v>
      </c>
      <c r="K49" s="13">
        <f>H49*0.1</f>
        <v>105588.00106185293</v>
      </c>
      <c r="L49" s="21">
        <f>SUM(I49:K49)</f>
        <v>1055880.0106185293</v>
      </c>
    </row>
    <row r="50" spans="1:12" x14ac:dyDescent="0.25">
      <c r="A50" t="s">
        <v>48</v>
      </c>
    </row>
  </sheetData>
  <mergeCells count="51">
    <mergeCell ref="N8:N9"/>
    <mergeCell ref="O8:O9"/>
    <mergeCell ref="P8:P9"/>
    <mergeCell ref="Q8:Q9"/>
    <mergeCell ref="N3:Q4"/>
    <mergeCell ref="N5:N7"/>
    <mergeCell ref="O5:O7"/>
    <mergeCell ref="P5:P7"/>
    <mergeCell ref="Q5:Q7"/>
    <mergeCell ref="A19:A23"/>
    <mergeCell ref="B19:B23"/>
    <mergeCell ref="C19:C23"/>
    <mergeCell ref="D19:H20"/>
    <mergeCell ref="I5:I7"/>
    <mergeCell ref="A3:A7"/>
    <mergeCell ref="B3:B7"/>
    <mergeCell ref="C3:C7"/>
    <mergeCell ref="D3:H4"/>
    <mergeCell ref="D5:D7"/>
    <mergeCell ref="E5:E7"/>
    <mergeCell ref="F5:F7"/>
    <mergeCell ref="G5:G7"/>
    <mergeCell ref="H5:H7"/>
    <mergeCell ref="D21:D23"/>
    <mergeCell ref="E21:E23"/>
    <mergeCell ref="F21:F23"/>
    <mergeCell ref="G21:G23"/>
    <mergeCell ref="H21:H23"/>
    <mergeCell ref="K21:K23"/>
    <mergeCell ref="L21:L23"/>
    <mergeCell ref="A40:A44"/>
    <mergeCell ref="B40:B44"/>
    <mergeCell ref="C40:C44"/>
    <mergeCell ref="D40:H41"/>
    <mergeCell ref="D42:D44"/>
    <mergeCell ref="E42:E44"/>
    <mergeCell ref="F42:F44"/>
    <mergeCell ref="G42:G44"/>
    <mergeCell ref="H42:H44"/>
    <mergeCell ref="I3:L4"/>
    <mergeCell ref="I19:L20"/>
    <mergeCell ref="I40:L41"/>
    <mergeCell ref="I42:I44"/>
    <mergeCell ref="J42:J44"/>
    <mergeCell ref="K42:K44"/>
    <mergeCell ref="L42:L44"/>
    <mergeCell ref="I21:I23"/>
    <mergeCell ref="J21:J23"/>
    <mergeCell ref="J5:J7"/>
    <mergeCell ref="K5:K7"/>
    <mergeCell ref="L5:L7"/>
  </mergeCells>
  <phoneticPr fontId="2" type="noConversion"/>
  <pageMargins left="0.7" right="0.7" top="0.75" bottom="0.75" header="0.3" footer="0.3"/>
  <pageSetup paperSize="8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Macan</dc:creator>
  <cp:lastModifiedBy>Morena Grakalić</cp:lastModifiedBy>
  <cp:lastPrinted>2023-04-06T06:25:18Z</cp:lastPrinted>
  <dcterms:created xsi:type="dcterms:W3CDTF">2022-02-04T11:04:22Z</dcterms:created>
  <dcterms:modified xsi:type="dcterms:W3CDTF">2023-04-06T06:57:23Z</dcterms:modified>
</cp:coreProperties>
</file>